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6014788\Documents\Administration\"/>
    </mc:Choice>
  </mc:AlternateContent>
  <bookViews>
    <workbookView xWindow="315" yWindow="540" windowWidth="28155" windowHeight="16335" tabRatio="500"/>
  </bookViews>
  <sheets>
    <sheet name="2019-2020 Budge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" i="1" l="1"/>
  <c r="P55" i="1"/>
  <c r="P58" i="1"/>
  <c r="L40" i="1"/>
  <c r="L39" i="1"/>
  <c r="L38" i="1"/>
  <c r="L37" i="1"/>
  <c r="L36" i="1"/>
  <c r="L35" i="1"/>
  <c r="L34" i="1"/>
  <c r="L33" i="1"/>
  <c r="L32" i="1"/>
  <c r="L31" i="1"/>
  <c r="L30" i="1"/>
  <c r="P27" i="1"/>
  <c r="L29" i="1"/>
  <c r="L28" i="1"/>
  <c r="L27" i="1"/>
  <c r="L25" i="1"/>
  <c r="L24" i="1"/>
  <c r="L23" i="1"/>
  <c r="L22" i="1"/>
  <c r="P23" i="1"/>
  <c r="L21" i="1"/>
  <c r="L20" i="1"/>
  <c r="L95" i="1"/>
  <c r="P95" i="1"/>
  <c r="C12" i="1"/>
  <c r="H12" i="1"/>
  <c r="C13" i="1"/>
  <c r="H13" i="1"/>
  <c r="C14" i="1"/>
  <c r="H14" i="1"/>
  <c r="H16" i="1"/>
  <c r="H42" i="1"/>
  <c r="C44" i="1"/>
  <c r="H44" i="1"/>
  <c r="H46" i="1"/>
  <c r="H66" i="1"/>
  <c r="C7" i="1"/>
  <c r="C50" i="1"/>
  <c r="H50" i="1"/>
  <c r="H58" i="1"/>
  <c r="H84" i="1"/>
  <c r="H91" i="1"/>
  <c r="H95" i="1"/>
  <c r="J14" i="1"/>
  <c r="J16" i="1"/>
  <c r="J46" i="1"/>
  <c r="J84" i="1"/>
  <c r="J91" i="1"/>
  <c r="J95" i="1"/>
  <c r="N95" i="1"/>
  <c r="P84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6" i="1"/>
  <c r="L64" i="1"/>
  <c r="P64" i="1"/>
  <c r="L63" i="1"/>
  <c r="L62" i="1"/>
  <c r="L61" i="1"/>
  <c r="P66" i="1"/>
  <c r="L56" i="1"/>
  <c r="L55" i="1"/>
  <c r="L54" i="1"/>
  <c r="L53" i="1"/>
  <c r="L52" i="1"/>
  <c r="L51" i="1"/>
  <c r="L50" i="1"/>
  <c r="P46" i="1"/>
  <c r="P12" i="1"/>
  <c r="P42" i="1"/>
  <c r="P16" i="1"/>
  <c r="J7" i="1"/>
  <c r="J98" i="1"/>
  <c r="N84" i="1"/>
  <c r="L84" i="1"/>
  <c r="P80" i="1"/>
  <c r="L42" i="1"/>
  <c r="L58" i="1"/>
  <c r="N53" i="1"/>
  <c r="L91" i="1"/>
  <c r="L89" i="1"/>
  <c r="L88" i="1"/>
  <c r="L87" i="1"/>
  <c r="P52" i="1"/>
  <c r="P40" i="1"/>
  <c r="P37" i="1"/>
  <c r="P34" i="1"/>
  <c r="P33" i="1"/>
  <c r="P32" i="1"/>
  <c r="P31" i="1"/>
  <c r="P30" i="1"/>
  <c r="P22" i="1"/>
  <c r="L14" i="1"/>
  <c r="P53" i="1"/>
  <c r="P78" i="1"/>
  <c r="P77" i="1"/>
  <c r="P76" i="1"/>
  <c r="P75" i="1"/>
  <c r="F19" i="1"/>
  <c r="F42" i="1"/>
  <c r="N62" i="1"/>
  <c r="P24" i="1"/>
  <c r="F44" i="1"/>
  <c r="F12" i="1"/>
  <c r="F13" i="1"/>
  <c r="F14" i="1"/>
  <c r="F16" i="1"/>
  <c r="F46" i="1"/>
  <c r="F66" i="1"/>
  <c r="F7" i="1"/>
  <c r="F50" i="1"/>
  <c r="F53" i="1"/>
  <c r="F56" i="1"/>
  <c r="F58" i="1"/>
  <c r="F84" i="1"/>
  <c r="F91" i="1"/>
  <c r="F95" i="1"/>
  <c r="H7" i="1"/>
  <c r="H98" i="1"/>
  <c r="C16" i="1"/>
  <c r="C19" i="1"/>
  <c r="C42" i="1"/>
  <c r="C46" i="1"/>
  <c r="C66" i="1"/>
  <c r="C53" i="1"/>
  <c r="C56" i="1"/>
  <c r="C58" i="1"/>
  <c r="C84" i="1"/>
  <c r="C91" i="1"/>
  <c r="C95" i="1"/>
  <c r="L7" i="1"/>
  <c r="L5" i="1"/>
</calcChain>
</file>

<file path=xl/sharedStrings.xml><?xml version="1.0" encoding="utf-8"?>
<sst xmlns="http://schemas.openxmlformats.org/spreadsheetml/2006/main" count="92" uniqueCount="79">
  <si>
    <t>% of</t>
  </si>
  <si>
    <t>$ Change</t>
  </si>
  <si>
    <t>% Change</t>
  </si>
  <si>
    <t>Required by</t>
  </si>
  <si>
    <t>Budget</t>
  </si>
  <si>
    <t>Revenue</t>
  </si>
  <si>
    <t>From</t>
  </si>
  <si>
    <t>Redbook</t>
  </si>
  <si>
    <t>Previous Year</t>
  </si>
  <si>
    <t>Student Fees</t>
  </si>
  <si>
    <t>Total Income</t>
  </si>
  <si>
    <t>Departments</t>
  </si>
  <si>
    <t>ASUU Centralized Child Care</t>
  </si>
  <si>
    <t>ASUU Tutoring Center</t>
  </si>
  <si>
    <t>Food Pantry</t>
  </si>
  <si>
    <t>Total</t>
  </si>
  <si>
    <t>Executive Branch</t>
  </si>
  <si>
    <t>Accessibility Services</t>
  </si>
  <si>
    <t>Campus Relations</t>
  </si>
  <si>
    <t>Chief of Staff</t>
  </si>
  <si>
    <t>Compensation/ Benefits - Executive Cabinet</t>
  </si>
  <si>
    <t>Compensation/ Benefits - President</t>
  </si>
  <si>
    <t>Compensation/ Benefits - Vice President</t>
  </si>
  <si>
    <t>Compensation/ Benefits - Attorney General</t>
  </si>
  <si>
    <t>Elections Committee (Elections Board)</t>
  </si>
  <si>
    <t>Elections Reimbursement</t>
  </si>
  <si>
    <t>Finance</t>
  </si>
  <si>
    <t>First Year Council</t>
  </si>
  <si>
    <t>Government Relations</t>
  </si>
  <si>
    <t>Marketing</t>
  </si>
  <si>
    <t>Student Immersion and Outreach</t>
  </si>
  <si>
    <t>Leadership Conferences</t>
  </si>
  <si>
    <t>Presidential Operating</t>
  </si>
  <si>
    <t>Sustainability</t>
  </si>
  <si>
    <t>Student Orgs Mangagement System</t>
  </si>
  <si>
    <t>USA Expense</t>
  </si>
  <si>
    <t>Vice Presidential Operating</t>
  </si>
  <si>
    <t>Total without P.O.</t>
  </si>
  <si>
    <t>Campus Events Board (P.O.)</t>
  </si>
  <si>
    <t>Legislative</t>
  </si>
  <si>
    <t>Assembly Contingency</t>
  </si>
  <si>
    <t>Assembly Operating</t>
  </si>
  <si>
    <t>Assembly Compensation/ Benefits</t>
  </si>
  <si>
    <t>Senate Contingency</t>
  </si>
  <si>
    <t>Senate Operating</t>
  </si>
  <si>
    <t>Senate Compensation/ Benefits</t>
  </si>
  <si>
    <t>Travel Fund</t>
  </si>
  <si>
    <t>Judicial Branch</t>
  </si>
  <si>
    <t>Attorney General</t>
  </si>
  <si>
    <t>Courtesy Phones</t>
  </si>
  <si>
    <t>Supreme Court Operating</t>
  </si>
  <si>
    <t>Supreme Court Compensation</t>
  </si>
  <si>
    <t>Office Operations</t>
  </si>
  <si>
    <t>Audit</t>
  </si>
  <si>
    <t>Benefits</t>
  </si>
  <si>
    <t>Copier, Office</t>
  </si>
  <si>
    <t xml:space="preserve">Data Processing </t>
  </si>
  <si>
    <t>Network Support</t>
  </si>
  <si>
    <t>Postage</t>
  </si>
  <si>
    <t>Professional Development</t>
  </si>
  <si>
    <t>Rent to Union</t>
  </si>
  <si>
    <t>Salaries-Office Staff</t>
  </si>
  <si>
    <t>Supplies</t>
  </si>
  <si>
    <t>Support Staffing</t>
  </si>
  <si>
    <t>Telephone Equipment</t>
  </si>
  <si>
    <t>Golf Cart Maintenance</t>
  </si>
  <si>
    <t>Other</t>
  </si>
  <si>
    <t>Scholarship Fund</t>
  </si>
  <si>
    <t>Special Projects Fund</t>
  </si>
  <si>
    <t>Sport Club Fund</t>
  </si>
  <si>
    <t>Budget Summary</t>
  </si>
  <si>
    <t>Total Expenses</t>
  </si>
  <si>
    <t>Net Residual</t>
  </si>
  <si>
    <t>2019 - 2020</t>
  </si>
  <si>
    <t>2018 - 2019</t>
  </si>
  <si>
    <t>Student Resources</t>
  </si>
  <si>
    <t>Diversity Board</t>
  </si>
  <si>
    <t>INCOME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</si>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</sst>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5" tint="0.39997558519241921"/>
      <name val="Calibri"/>
      <family val="2"/>
    </font>
    <font>
      <b/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4" fillId="2" borderId="0" xfId="0" applyFont="1" applyFill="1"/>
    <xf numFmtId="165" fontId="4" fillId="0" borderId="0" xfId="1" applyNumberFormat="1" applyFont="1"/>
    <xf numFmtId="0" fontId="4" fillId="4" borderId="0" xfId="0" applyFont="1" applyFill="1"/>
    <xf numFmtId="10" fontId="4" fillId="2" borderId="1" xfId="0" applyNumberFormat="1" applyFont="1" applyFill="1" applyBorder="1" applyProtection="1"/>
    <xf numFmtId="42" fontId="3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42" fontId="4" fillId="2" borderId="1" xfId="0" applyNumberFormat="1" applyFont="1" applyFill="1" applyBorder="1" applyProtection="1"/>
    <xf numFmtId="3" fontId="2" fillId="2" borderId="1" xfId="0" applyNumberFormat="1" applyFont="1" applyFill="1" applyBorder="1" applyProtection="1"/>
    <xf numFmtId="10" fontId="2" fillId="2" borderId="1" xfId="0" applyNumberFormat="1" applyFont="1" applyFill="1" applyBorder="1" applyProtection="1"/>
    <xf numFmtId="44" fontId="2" fillId="2" borderId="1" xfId="1" applyFont="1" applyFill="1" applyBorder="1" applyProtection="1"/>
    <xf numFmtId="42" fontId="2" fillId="2" borderId="1" xfId="0" applyNumberFormat="1" applyFont="1" applyFill="1" applyBorder="1" applyProtection="1"/>
    <xf numFmtId="0" fontId="4" fillId="2" borderId="1" xfId="0" applyFont="1" applyFill="1" applyBorder="1"/>
    <xf numFmtId="44" fontId="2" fillId="3" borderId="1" xfId="0" applyNumberFormat="1" applyFont="1" applyFill="1" applyBorder="1" applyAlignment="1" applyProtection="1">
      <alignment horizontal="center"/>
    </xf>
    <xf numFmtId="42" fontId="3" fillId="3" borderId="1" xfId="0" applyNumberFormat="1" applyFont="1" applyFill="1" applyBorder="1" applyAlignment="1" applyProtection="1">
      <alignment horizontal="center"/>
    </xf>
    <xf numFmtId="4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165" fontId="3" fillId="3" borderId="1" xfId="1" applyNumberFormat="1" applyFont="1" applyFill="1" applyBorder="1" applyAlignment="1" applyProtection="1">
      <alignment horizontal="center"/>
    </xf>
    <xf numFmtId="0" fontId="4" fillId="3" borderId="1" xfId="0" applyFont="1" applyFill="1" applyBorder="1"/>
    <xf numFmtId="44" fontId="3" fillId="3" borderId="1" xfId="0" applyNumberFormat="1" applyFont="1" applyFill="1" applyBorder="1" applyAlignment="1" applyProtection="1">
      <alignment horizontal="center" wrapText="1"/>
    </xf>
    <xf numFmtId="42" fontId="4" fillId="3" borderId="1" xfId="0" applyNumberFormat="1" applyFont="1" applyFill="1" applyBorder="1"/>
    <xf numFmtId="165" fontId="4" fillId="3" borderId="1" xfId="1" applyNumberFormat="1" applyFont="1" applyFill="1" applyBorder="1" applyProtection="1"/>
    <xf numFmtId="44" fontId="2" fillId="3" borderId="1" xfId="0" applyNumberFormat="1" applyFont="1" applyFill="1" applyBorder="1" applyProtection="1"/>
    <xf numFmtId="10" fontId="2" fillId="3" borderId="1" xfId="0" applyNumberFormat="1" applyFont="1" applyFill="1" applyBorder="1" applyProtection="1"/>
    <xf numFmtId="8" fontId="4" fillId="3" borderId="1" xfId="0" applyNumberFormat="1" applyFont="1" applyFill="1" applyBorder="1" applyProtection="1"/>
    <xf numFmtId="8" fontId="2" fillId="3" borderId="1" xfId="0" applyNumberFormat="1" applyFont="1" applyFill="1" applyBorder="1"/>
    <xf numFmtId="42" fontId="2" fillId="3" borderId="1" xfId="0" applyNumberFormat="1" applyFont="1" applyFill="1" applyBorder="1" applyProtection="1"/>
    <xf numFmtId="44" fontId="3" fillId="3" borderId="1" xfId="0" applyNumberFormat="1" applyFont="1" applyFill="1" applyBorder="1" applyAlignment="1" applyProtection="1">
      <alignment horizontal="right"/>
    </xf>
    <xf numFmtId="10" fontId="2" fillId="3" borderId="1" xfId="2" applyNumberFormat="1" applyFont="1" applyFill="1" applyBorder="1" applyProtection="1"/>
    <xf numFmtId="42" fontId="4" fillId="3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Protection="1"/>
    <xf numFmtId="10" fontId="2" fillId="3" borderId="1" xfId="0" applyNumberFormat="1" applyFont="1" applyFill="1" applyBorder="1" applyAlignment="1" applyProtection="1">
      <alignment horizontal="right"/>
    </xf>
    <xf numFmtId="9" fontId="4" fillId="3" borderId="1" xfId="0" applyNumberFormat="1" applyFont="1" applyFill="1" applyBorder="1"/>
    <xf numFmtId="44" fontId="2" fillId="3" borderId="1" xfId="0" applyNumberFormat="1" applyFont="1" applyFill="1" applyBorder="1" applyAlignment="1" applyProtection="1">
      <alignment horizontal="left"/>
    </xf>
    <xf numFmtId="164" fontId="2" fillId="3" borderId="1" xfId="0" applyNumberFormat="1" applyFont="1" applyFill="1" applyBorder="1" applyProtection="1"/>
    <xf numFmtId="42" fontId="2" fillId="3" borderId="1" xfId="0" applyNumberFormat="1" applyFont="1" applyFill="1" applyBorder="1"/>
    <xf numFmtId="165" fontId="4" fillId="3" borderId="1" xfId="1" applyNumberFormat="1" applyFont="1" applyFill="1" applyBorder="1"/>
    <xf numFmtId="44" fontId="3" fillId="4" borderId="1" xfId="0" applyNumberFormat="1" applyFont="1" applyFill="1" applyBorder="1" applyProtection="1"/>
    <xf numFmtId="42" fontId="4" fillId="4" borderId="1" xfId="0" applyNumberFormat="1" applyFont="1" applyFill="1" applyBorder="1" applyProtection="1"/>
    <xf numFmtId="42" fontId="4" fillId="4" borderId="1" xfId="0" applyNumberFormat="1" applyFont="1" applyFill="1" applyBorder="1"/>
    <xf numFmtId="165" fontId="4" fillId="4" borderId="1" xfId="1" applyNumberFormat="1" applyFont="1" applyFill="1" applyBorder="1" applyProtection="1"/>
    <xf numFmtId="0" fontId="4" fillId="4" borderId="1" xfId="0" applyFont="1" applyFill="1" applyBorder="1"/>
    <xf numFmtId="0" fontId="6" fillId="4" borderId="0" xfId="0" applyFont="1" applyFill="1"/>
    <xf numFmtId="44" fontId="3" fillId="4" borderId="1" xfId="0" applyNumberFormat="1" applyFont="1" applyFill="1" applyBorder="1"/>
    <xf numFmtId="10" fontId="2" fillId="4" borderId="1" xfId="0" applyNumberFormat="1" applyFont="1" applyFill="1" applyBorder="1" applyProtection="1"/>
    <xf numFmtId="3" fontId="2" fillId="4" borderId="1" xfId="0" applyNumberFormat="1" applyFont="1" applyFill="1" applyBorder="1" applyProtection="1"/>
    <xf numFmtId="44" fontId="3" fillId="4" borderId="1" xfId="0" applyNumberFormat="1" applyFont="1" applyFill="1" applyBorder="1" applyAlignment="1" applyProtection="1">
      <alignment horizontal="left"/>
    </xf>
    <xf numFmtId="44" fontId="3" fillId="4" borderId="1" xfId="0" applyNumberFormat="1" applyFont="1" applyFill="1" applyBorder="1" applyAlignment="1">
      <alignment horizontal="left"/>
    </xf>
    <xf numFmtId="42" fontId="2" fillId="4" borderId="1" xfId="0" applyNumberFormat="1" applyFont="1" applyFill="1" applyBorder="1" applyProtection="1"/>
  </cellXfs>
  <cellStyles count="1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08F00"/>
      <color rgb="FFD883FF"/>
      <color rgb="FF73FB79"/>
      <color rgb="FF76D6FF"/>
      <color rgb="FF0096FF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workbookViewId="0">
      <selection activeCell="A7" sqref="A7"/>
    </sheetView>
  </sheetViews>
  <sheetFormatPr defaultColWidth="10.875" defaultRowHeight="15" x14ac:dyDescent="0.25"/>
  <cols>
    <col min="1" max="1" width="38.625" style="1" customWidth="1"/>
    <col min="2" max="2" width="8.375" style="1" customWidth="1"/>
    <col min="3" max="3" width="12.875" style="1" customWidth="1"/>
    <col min="4" max="4" width="8.5" style="6" customWidth="1"/>
    <col min="5" max="5" width="8.125" style="1" customWidth="1"/>
    <col min="6" max="6" width="12.875" style="1" customWidth="1"/>
    <col min="7" max="7" width="8.5" style="6" customWidth="1"/>
    <col min="8" max="8" width="14.5" style="1" customWidth="1"/>
    <col min="9" max="9" width="8.5" style="6" customWidth="1"/>
    <col min="10" max="10" width="14.5" style="1" customWidth="1"/>
    <col min="11" max="11" width="8.5" style="6" customWidth="1"/>
    <col min="12" max="12" width="12.875" style="1" customWidth="1"/>
    <col min="13" max="13" width="8.5" style="6" customWidth="1"/>
    <col min="14" max="14" width="12.875" style="7" customWidth="1"/>
    <col min="15" max="15" width="8.5" style="6" customWidth="1"/>
    <col min="16" max="16" width="12.875" style="1" customWidth="1"/>
    <col min="17" max="17" width="5" style="1" customWidth="1"/>
    <col min="18" max="18" width="10.875" style="1"/>
    <col min="19" max="19" width="16.5" style="1" customWidth="1"/>
    <col min="20" max="16384" width="10.875" style="1"/>
  </cols>
  <sheetData>
    <row r="1" spans="1:19" ht="15.95" customHeight="1" x14ac:dyDescent="0.25">
      <c r="A1" s="18"/>
      <c r="B1" s="19" t="s">
        <v>74</v>
      </c>
      <c r="C1" s="19"/>
      <c r="D1" s="9"/>
      <c r="E1" s="19" t="s">
        <v>73</v>
      </c>
      <c r="F1" s="19"/>
      <c r="G1" s="9"/>
      <c r="H1" s="20" t="s">
        <v>74</v>
      </c>
      <c r="I1" s="9"/>
      <c r="J1" s="20" t="s">
        <v>73</v>
      </c>
      <c r="K1" s="10"/>
      <c r="L1" s="21" t="s">
        <v>0</v>
      </c>
      <c r="M1" s="11"/>
      <c r="N1" s="22" t="s">
        <v>1</v>
      </c>
      <c r="O1" s="10"/>
      <c r="P1" s="21" t="s">
        <v>2</v>
      </c>
      <c r="Q1" s="21"/>
      <c r="R1" s="23"/>
    </row>
    <row r="2" spans="1:19" ht="15.95" customHeight="1" x14ac:dyDescent="0.25">
      <c r="A2" s="18"/>
      <c r="B2" s="19" t="s">
        <v>3</v>
      </c>
      <c r="C2" s="19"/>
      <c r="D2" s="10"/>
      <c r="E2" s="19" t="s">
        <v>3</v>
      </c>
      <c r="F2" s="19"/>
      <c r="G2" s="10"/>
      <c r="H2" s="20" t="s">
        <v>4</v>
      </c>
      <c r="I2" s="10"/>
      <c r="J2" s="20" t="s">
        <v>4</v>
      </c>
      <c r="K2" s="10"/>
      <c r="L2" s="21" t="s">
        <v>5</v>
      </c>
      <c r="M2" s="11"/>
      <c r="N2" s="22" t="s">
        <v>6</v>
      </c>
      <c r="O2" s="10"/>
      <c r="P2" s="21" t="s">
        <v>6</v>
      </c>
      <c r="Q2" s="21"/>
      <c r="R2" s="23"/>
    </row>
    <row r="3" spans="1:19" ht="15.95" customHeight="1" x14ac:dyDescent="0.25">
      <c r="A3" s="24"/>
      <c r="B3" s="19" t="s">
        <v>7</v>
      </c>
      <c r="C3" s="19"/>
      <c r="D3" s="9"/>
      <c r="E3" s="19" t="s">
        <v>7</v>
      </c>
      <c r="F3" s="19"/>
      <c r="G3" s="9"/>
      <c r="H3" s="20"/>
      <c r="I3" s="9"/>
      <c r="J3" s="20"/>
      <c r="K3" s="10"/>
      <c r="L3" s="21"/>
      <c r="M3" s="11"/>
      <c r="N3" s="22" t="s">
        <v>8</v>
      </c>
      <c r="O3" s="10"/>
      <c r="P3" s="21" t="s">
        <v>8</v>
      </c>
      <c r="Q3" s="21"/>
      <c r="R3" s="23"/>
    </row>
    <row r="4" spans="1:19" s="8" customFormat="1" ht="15.95" customHeight="1" x14ac:dyDescent="0.25">
      <c r="A4" s="42" t="s">
        <v>77</v>
      </c>
      <c r="B4" s="43"/>
      <c r="C4" s="43"/>
      <c r="D4" s="43"/>
      <c r="E4" s="43"/>
      <c r="F4" s="43"/>
      <c r="G4" s="43"/>
      <c r="H4" s="44"/>
      <c r="I4" s="43"/>
      <c r="J4" s="44"/>
      <c r="K4" s="43"/>
      <c r="L4" s="43"/>
      <c r="M4" s="43"/>
      <c r="N4" s="45"/>
      <c r="O4" s="43"/>
      <c r="P4" s="43"/>
      <c r="Q4" s="43"/>
      <c r="R4" s="46"/>
      <c r="S4" s="47"/>
    </row>
    <row r="5" spans="1:19" ht="15.95" customHeight="1" x14ac:dyDescent="0.25">
      <c r="A5" s="27" t="s">
        <v>9</v>
      </c>
      <c r="B5" s="28"/>
      <c r="C5" s="29">
        <v>1807075</v>
      </c>
      <c r="D5" s="13"/>
      <c r="E5" s="28"/>
      <c r="F5" s="29">
        <v>1807075</v>
      </c>
      <c r="G5" s="13"/>
      <c r="H5" s="30">
        <v>1807075</v>
      </c>
      <c r="I5" s="13"/>
      <c r="J5" s="30">
        <v>1807075</v>
      </c>
      <c r="K5" s="12"/>
      <c r="L5" s="28">
        <f>H5/$H$5</f>
        <v>1</v>
      </c>
      <c r="M5" s="14"/>
      <c r="N5" s="26"/>
      <c r="O5" s="12"/>
      <c r="P5" s="28"/>
      <c r="Q5" s="28"/>
      <c r="R5" s="23"/>
      <c r="S5" s="4"/>
    </row>
    <row r="6" spans="1:19" ht="15.95" customHeight="1" x14ac:dyDescent="0.25">
      <c r="A6" s="27"/>
      <c r="B6" s="28"/>
      <c r="C6" s="31"/>
      <c r="D6" s="13"/>
      <c r="E6" s="28"/>
      <c r="F6" s="31"/>
      <c r="G6" s="13"/>
      <c r="H6" s="25"/>
      <c r="I6" s="13"/>
      <c r="J6" s="25"/>
      <c r="K6" s="12"/>
      <c r="L6" s="28"/>
      <c r="M6" s="14"/>
      <c r="N6" s="26"/>
      <c r="O6" s="12"/>
      <c r="P6" s="28"/>
      <c r="Q6" s="28"/>
      <c r="R6" s="23"/>
      <c r="S6" s="4"/>
    </row>
    <row r="7" spans="1:19" ht="15.95" customHeight="1" x14ac:dyDescent="0.25">
      <c r="A7" s="32" t="s">
        <v>10</v>
      </c>
      <c r="B7" s="28"/>
      <c r="C7" s="31">
        <f>SUM(C5:C6)</f>
        <v>1807075</v>
      </c>
      <c r="D7" s="13"/>
      <c r="E7" s="28"/>
      <c r="F7" s="31">
        <f>SUM(F5:F6)</f>
        <v>1807075</v>
      </c>
      <c r="G7" s="13"/>
      <c r="H7" s="25">
        <f>SUM(H5:H6)</f>
        <v>1807075</v>
      </c>
      <c r="I7" s="13"/>
      <c r="J7" s="25">
        <f>SUM(J5:J6)</f>
        <v>1807075</v>
      </c>
      <c r="K7" s="12"/>
      <c r="L7" s="28">
        <f>H7/$H$5</f>
        <v>1</v>
      </c>
      <c r="M7" s="14"/>
      <c r="N7" s="26"/>
      <c r="O7" s="12"/>
      <c r="P7" s="28"/>
      <c r="Q7" s="28"/>
      <c r="R7" s="23"/>
      <c r="S7" s="5"/>
    </row>
    <row r="8" spans="1:19" ht="15.95" customHeight="1" x14ac:dyDescent="0.25">
      <c r="A8" s="27"/>
      <c r="B8" s="28"/>
      <c r="C8" s="31"/>
      <c r="D8" s="13"/>
      <c r="E8" s="28"/>
      <c r="F8" s="31"/>
      <c r="G8" s="13"/>
      <c r="H8" s="25"/>
      <c r="I8" s="13"/>
      <c r="J8" s="25"/>
      <c r="K8" s="12"/>
      <c r="L8" s="28"/>
      <c r="M8" s="14"/>
      <c r="N8" s="26"/>
      <c r="O8" s="12"/>
      <c r="P8" s="28"/>
      <c r="Q8" s="28"/>
      <c r="R8" s="23"/>
      <c r="S8" s="5"/>
    </row>
    <row r="9" spans="1:19" s="8" customFormat="1" ht="15.95" customHeight="1" x14ac:dyDescent="0.25">
      <c r="A9" s="42" t="s">
        <v>78</v>
      </c>
      <c r="B9" s="42"/>
      <c r="C9" s="42"/>
      <c r="D9" s="42"/>
      <c r="E9" s="42"/>
      <c r="F9" s="42"/>
      <c r="G9" s="42"/>
      <c r="H9" s="48"/>
      <c r="I9" s="42"/>
      <c r="J9" s="48"/>
      <c r="K9" s="42"/>
      <c r="L9" s="49"/>
      <c r="M9" s="42"/>
      <c r="N9" s="45"/>
      <c r="O9" s="42"/>
      <c r="P9" s="49"/>
      <c r="Q9" s="49"/>
      <c r="R9" s="46"/>
      <c r="S9" s="47"/>
    </row>
    <row r="10" spans="1:19" ht="15.95" customHeight="1" x14ac:dyDescent="0.25">
      <c r="A10" s="27"/>
      <c r="B10" s="28"/>
      <c r="C10" s="31"/>
      <c r="D10" s="13"/>
      <c r="E10" s="28"/>
      <c r="F10" s="31"/>
      <c r="G10" s="13"/>
      <c r="H10" s="25"/>
      <c r="I10" s="13"/>
      <c r="J10" s="25"/>
      <c r="K10" s="12"/>
      <c r="L10" s="28"/>
      <c r="M10" s="14"/>
      <c r="N10" s="26"/>
      <c r="O10" s="12"/>
      <c r="P10" s="28"/>
      <c r="Q10" s="28"/>
      <c r="R10" s="23"/>
    </row>
    <row r="11" spans="1:19" s="8" customFormat="1" ht="15.95" customHeight="1" x14ac:dyDescent="0.25">
      <c r="A11" s="42" t="s">
        <v>11</v>
      </c>
      <c r="B11" s="42"/>
      <c r="C11" s="42"/>
      <c r="D11" s="42"/>
      <c r="E11" s="42"/>
      <c r="F11" s="42"/>
      <c r="G11" s="42"/>
      <c r="H11" s="48"/>
      <c r="I11" s="42"/>
      <c r="J11" s="48"/>
      <c r="K11" s="42"/>
      <c r="L11" s="49"/>
      <c r="M11" s="42"/>
      <c r="N11" s="45"/>
      <c r="O11" s="42"/>
      <c r="P11" s="49"/>
      <c r="Q11" s="49"/>
      <c r="R11" s="46"/>
    </row>
    <row r="12" spans="1:19" ht="15.95" customHeight="1" x14ac:dyDescent="0.25">
      <c r="A12" s="27" t="s">
        <v>12</v>
      </c>
      <c r="B12" s="33">
        <v>2.5000000000000001E-2</v>
      </c>
      <c r="C12" s="31">
        <f>C5*B12</f>
        <v>45176.875</v>
      </c>
      <c r="D12" s="13"/>
      <c r="E12" s="33">
        <v>2.5000000000000001E-2</v>
      </c>
      <c r="F12" s="31">
        <f>F5*E12</f>
        <v>45176.875</v>
      </c>
      <c r="G12" s="13"/>
      <c r="H12" s="34">
        <f>(C12)</f>
        <v>45176.875</v>
      </c>
      <c r="I12" s="13"/>
      <c r="J12" s="31">
        <v>49794</v>
      </c>
      <c r="K12" s="12"/>
      <c r="L12" s="28">
        <v>2.75E-2</v>
      </c>
      <c r="M12" s="14"/>
      <c r="N12" s="26">
        <v>4517.5</v>
      </c>
      <c r="O12" s="12"/>
      <c r="P12" s="28">
        <f>4518/49794</f>
        <v>9.0733823352211113E-2</v>
      </c>
      <c r="Q12" s="28"/>
      <c r="R12" s="23"/>
    </row>
    <row r="13" spans="1:19" ht="15.95" customHeight="1" x14ac:dyDescent="0.25">
      <c r="A13" s="27" t="s">
        <v>13</v>
      </c>
      <c r="B13" s="33">
        <v>3.5000000000000003E-2</v>
      </c>
      <c r="C13" s="31">
        <f>C5*B13</f>
        <v>63247.625000000007</v>
      </c>
      <c r="D13" s="13"/>
      <c r="E13" s="33">
        <v>3.5000000000000003E-2</v>
      </c>
      <c r="F13" s="31">
        <f>F5*E13</f>
        <v>63247.625000000007</v>
      </c>
      <c r="G13" s="13"/>
      <c r="H13" s="34">
        <f>(C13)</f>
        <v>63247.625000000007</v>
      </c>
      <c r="I13" s="13"/>
      <c r="J13" s="34">
        <v>63248</v>
      </c>
      <c r="K13" s="12"/>
      <c r="L13" s="28">
        <v>3.5000000000000003E-2</v>
      </c>
      <c r="M13" s="14"/>
      <c r="N13" s="26">
        <v>0</v>
      </c>
      <c r="O13" s="12"/>
      <c r="P13" s="28">
        <v>0</v>
      </c>
      <c r="Q13" s="28"/>
      <c r="R13" s="23"/>
    </row>
    <row r="14" spans="1:19" ht="15.95" customHeight="1" x14ac:dyDescent="0.25">
      <c r="A14" s="27" t="s">
        <v>14</v>
      </c>
      <c r="B14" s="28">
        <v>1.5E-3</v>
      </c>
      <c r="C14" s="31">
        <f>C5*B14</f>
        <v>2710.6125000000002</v>
      </c>
      <c r="D14" s="13"/>
      <c r="E14" s="28">
        <v>1.5E-3</v>
      </c>
      <c r="F14" s="31">
        <f>F5*E14</f>
        <v>2710.6125000000002</v>
      </c>
      <c r="G14" s="13"/>
      <c r="H14" s="31">
        <f>(C14)</f>
        <v>2710.6125000000002</v>
      </c>
      <c r="I14" s="13"/>
      <c r="J14" s="31">
        <f>(H14)</f>
        <v>2710.6125000000002</v>
      </c>
      <c r="K14" s="12"/>
      <c r="L14" s="28">
        <f>2711/1807075</f>
        <v>1.5002144349293748E-3</v>
      </c>
      <c r="M14" s="14"/>
      <c r="N14" s="26">
        <v>0</v>
      </c>
      <c r="O14" s="12"/>
      <c r="P14" s="28">
        <v>0</v>
      </c>
      <c r="Q14" s="28"/>
      <c r="R14" s="23"/>
    </row>
    <row r="15" spans="1:19" ht="15.95" customHeight="1" x14ac:dyDescent="0.25">
      <c r="A15" s="27"/>
      <c r="B15" s="28"/>
      <c r="C15" s="31"/>
      <c r="D15" s="13"/>
      <c r="E15" s="28"/>
      <c r="F15" s="31"/>
      <c r="G15" s="13"/>
      <c r="H15" s="31"/>
      <c r="I15" s="13"/>
      <c r="J15" s="31"/>
      <c r="K15" s="12"/>
      <c r="L15" s="28"/>
      <c r="M15" s="14"/>
      <c r="N15" s="26"/>
      <c r="O15" s="12"/>
      <c r="P15" s="28"/>
      <c r="Q15" s="28"/>
      <c r="R15" s="23"/>
    </row>
    <row r="16" spans="1:19" ht="15.95" customHeight="1" x14ac:dyDescent="0.25">
      <c r="A16" s="32" t="s">
        <v>15</v>
      </c>
      <c r="B16" s="28"/>
      <c r="C16" s="31">
        <f>SUM(C12:C14)</f>
        <v>111135.1125</v>
      </c>
      <c r="D16" s="13"/>
      <c r="E16" s="28"/>
      <c r="F16" s="31">
        <f>SUM(F12:F14)</f>
        <v>111135.1125</v>
      </c>
      <c r="G16" s="13"/>
      <c r="H16" s="25">
        <f>SUM(H12:H14)</f>
        <v>111135.1125</v>
      </c>
      <c r="I16" s="13"/>
      <c r="J16" s="25">
        <f>SUM(J12:J14)</f>
        <v>115752.6125</v>
      </c>
      <c r="K16" s="12"/>
      <c r="L16" s="28">
        <v>6.4000000000000001E-2</v>
      </c>
      <c r="M16" s="14"/>
      <c r="N16" s="26">
        <v>4517.5</v>
      </c>
      <c r="O16" s="12"/>
      <c r="P16" s="28">
        <f>4518/115753</f>
        <v>3.9031385795616526E-2</v>
      </c>
      <c r="Q16" s="28"/>
      <c r="R16" s="23"/>
    </row>
    <row r="17" spans="1:18" ht="15.95" customHeight="1" x14ac:dyDescent="0.25">
      <c r="A17" s="27"/>
      <c r="B17" s="28"/>
      <c r="C17" s="31"/>
      <c r="D17" s="13"/>
      <c r="E17" s="28"/>
      <c r="F17" s="31"/>
      <c r="G17" s="13"/>
      <c r="H17" s="25"/>
      <c r="I17" s="13"/>
      <c r="J17" s="25"/>
      <c r="K17" s="12"/>
      <c r="L17" s="28"/>
      <c r="M17" s="14"/>
      <c r="N17" s="26"/>
      <c r="O17" s="12"/>
      <c r="P17" s="28"/>
      <c r="Q17" s="28"/>
      <c r="R17" s="23"/>
    </row>
    <row r="18" spans="1:18" s="8" customFormat="1" ht="15.95" customHeight="1" x14ac:dyDescent="0.25">
      <c r="A18" s="42" t="s">
        <v>16</v>
      </c>
      <c r="B18" s="42"/>
      <c r="C18" s="42"/>
      <c r="D18" s="50"/>
      <c r="E18" s="42"/>
      <c r="F18" s="42"/>
      <c r="G18" s="50"/>
      <c r="H18" s="48"/>
      <c r="I18" s="50"/>
      <c r="J18" s="48"/>
      <c r="K18" s="43"/>
      <c r="L18" s="49"/>
      <c r="M18" s="49"/>
      <c r="N18" s="45"/>
      <c r="O18" s="43"/>
      <c r="P18" s="49"/>
      <c r="Q18" s="49"/>
      <c r="R18" s="46"/>
    </row>
    <row r="19" spans="1:18" ht="15.95" customHeight="1" x14ac:dyDescent="0.25">
      <c r="A19" s="27" t="s">
        <v>16</v>
      </c>
      <c r="B19" s="28">
        <v>0.11</v>
      </c>
      <c r="C19" s="31">
        <f>C5*B19</f>
        <v>198778.25</v>
      </c>
      <c r="D19" s="13"/>
      <c r="E19" s="28">
        <v>0.11</v>
      </c>
      <c r="F19" s="31">
        <f>F5*E19</f>
        <v>198778.25</v>
      </c>
      <c r="G19" s="13"/>
      <c r="H19" s="31"/>
      <c r="I19" s="13"/>
      <c r="J19" s="31"/>
      <c r="K19" s="12"/>
      <c r="L19" s="35"/>
      <c r="M19" s="14"/>
      <c r="N19" s="26"/>
      <c r="O19" s="12"/>
      <c r="P19" s="28"/>
      <c r="Q19" s="28"/>
      <c r="R19" s="23"/>
    </row>
    <row r="20" spans="1:18" ht="15.95" customHeight="1" x14ac:dyDescent="0.25">
      <c r="A20" s="27" t="s">
        <v>17</v>
      </c>
      <c r="B20" s="33"/>
      <c r="C20" s="31"/>
      <c r="D20" s="13"/>
      <c r="E20" s="33"/>
      <c r="F20" s="31"/>
      <c r="G20" s="13"/>
      <c r="H20" s="34">
        <v>3000</v>
      </c>
      <c r="I20" s="13"/>
      <c r="J20" s="34">
        <v>3000</v>
      </c>
      <c r="K20" s="12"/>
      <c r="L20" s="28">
        <f>3000/1807075</f>
        <v>1.6601413887082717E-3</v>
      </c>
      <c r="M20" s="14"/>
      <c r="N20" s="26">
        <v>0</v>
      </c>
      <c r="O20" s="12"/>
      <c r="P20" s="28">
        <v>0</v>
      </c>
      <c r="Q20" s="28"/>
      <c r="R20" s="23"/>
    </row>
    <row r="21" spans="1:18" ht="15.95" customHeight="1" x14ac:dyDescent="0.25">
      <c r="A21" s="27" t="s">
        <v>18</v>
      </c>
      <c r="B21" s="33"/>
      <c r="C21" s="31"/>
      <c r="D21" s="13"/>
      <c r="E21" s="33"/>
      <c r="F21" s="31"/>
      <c r="G21" s="13"/>
      <c r="H21" s="34">
        <v>5000</v>
      </c>
      <c r="I21" s="13"/>
      <c r="J21" s="34">
        <v>5000</v>
      </c>
      <c r="K21" s="12"/>
      <c r="L21" s="28">
        <f>5000/1807075</f>
        <v>2.766902314513786E-3</v>
      </c>
      <c r="M21" s="14"/>
      <c r="N21" s="26">
        <v>0</v>
      </c>
      <c r="O21" s="12"/>
      <c r="P21" s="36">
        <v>0</v>
      </c>
      <c r="Q21" s="36"/>
      <c r="R21" s="23"/>
    </row>
    <row r="22" spans="1:18" ht="15.95" customHeight="1" x14ac:dyDescent="0.25">
      <c r="A22" s="27" t="s">
        <v>19</v>
      </c>
      <c r="B22" s="33"/>
      <c r="C22" s="31"/>
      <c r="D22" s="13"/>
      <c r="E22" s="33"/>
      <c r="F22" s="31"/>
      <c r="G22" s="13"/>
      <c r="H22" s="34">
        <v>10000</v>
      </c>
      <c r="I22" s="13"/>
      <c r="J22" s="34">
        <v>12000</v>
      </c>
      <c r="K22" s="12"/>
      <c r="L22" s="28">
        <f>12000/1807075</f>
        <v>6.6405655548330868E-3</v>
      </c>
      <c r="M22" s="14"/>
      <c r="N22" s="26">
        <v>2000</v>
      </c>
      <c r="O22" s="12"/>
      <c r="P22" s="28">
        <f>2000/10000</f>
        <v>0.2</v>
      </c>
      <c r="Q22" s="28"/>
      <c r="R22" s="23"/>
    </row>
    <row r="23" spans="1:18" ht="15.95" customHeight="1" x14ac:dyDescent="0.25">
      <c r="A23" s="27" t="s">
        <v>20</v>
      </c>
      <c r="B23" s="33"/>
      <c r="C23" s="31"/>
      <c r="D23" s="13"/>
      <c r="E23" s="33"/>
      <c r="F23" s="31"/>
      <c r="G23" s="13"/>
      <c r="H23" s="34">
        <v>40000</v>
      </c>
      <c r="I23" s="13"/>
      <c r="J23" s="34">
        <v>32000</v>
      </c>
      <c r="K23" s="12"/>
      <c r="L23" s="28">
        <f>32000/1807075</f>
        <v>1.7708174812888233E-2</v>
      </c>
      <c r="M23" s="14"/>
      <c r="N23" s="26">
        <v>8000</v>
      </c>
      <c r="O23" s="12"/>
      <c r="P23" s="28">
        <f>8000/32000</f>
        <v>0.25</v>
      </c>
      <c r="Q23" s="28"/>
      <c r="R23" s="23"/>
    </row>
    <row r="24" spans="1:18" ht="15.95" customHeight="1" x14ac:dyDescent="0.25">
      <c r="A24" s="27" t="s">
        <v>21</v>
      </c>
      <c r="B24" s="33"/>
      <c r="C24" s="31"/>
      <c r="D24" s="13"/>
      <c r="E24" s="33"/>
      <c r="F24" s="31"/>
      <c r="G24" s="13"/>
      <c r="H24" s="34">
        <v>10800</v>
      </c>
      <c r="I24" s="13"/>
      <c r="J24" s="34">
        <v>10800</v>
      </c>
      <c r="K24" s="12"/>
      <c r="L24" s="28">
        <f>10800/1807075</f>
        <v>5.9765089993497776E-3</v>
      </c>
      <c r="M24" s="14"/>
      <c r="N24" s="26">
        <v>0</v>
      </c>
      <c r="O24" s="12"/>
      <c r="P24" s="28">
        <f>-S2</f>
        <v>0</v>
      </c>
      <c r="Q24" s="28"/>
      <c r="R24" s="23"/>
    </row>
    <row r="25" spans="1:18" ht="15.95" customHeight="1" x14ac:dyDescent="0.25">
      <c r="A25" s="27" t="s">
        <v>22</v>
      </c>
      <c r="B25" s="33"/>
      <c r="C25" s="31"/>
      <c r="D25" s="13"/>
      <c r="E25" s="33"/>
      <c r="F25" s="31"/>
      <c r="G25" s="13"/>
      <c r="H25" s="34">
        <v>18000</v>
      </c>
      <c r="I25" s="13"/>
      <c r="J25" s="34">
        <v>18000</v>
      </c>
      <c r="K25" s="12"/>
      <c r="L25" s="28">
        <f>18000/1807075</f>
        <v>9.9608483322496302E-3</v>
      </c>
      <c r="M25" s="14"/>
      <c r="N25" s="26">
        <v>0</v>
      </c>
      <c r="O25" s="12"/>
      <c r="P25" s="28">
        <v>0</v>
      </c>
      <c r="Q25" s="28"/>
      <c r="R25" s="23"/>
    </row>
    <row r="26" spans="1:18" ht="15.95" customHeight="1" x14ac:dyDescent="0.25">
      <c r="A26" s="27" t="s">
        <v>23</v>
      </c>
      <c r="B26" s="33"/>
      <c r="C26" s="31"/>
      <c r="D26" s="13"/>
      <c r="E26" s="33"/>
      <c r="F26" s="31"/>
      <c r="G26" s="13"/>
      <c r="H26" s="34">
        <v>3600</v>
      </c>
      <c r="I26" s="13"/>
      <c r="J26" s="34">
        <v>3600</v>
      </c>
      <c r="K26" s="12"/>
      <c r="L26" s="28">
        <f>3600/1807075</f>
        <v>1.9921696664499259E-3</v>
      </c>
      <c r="M26" s="14"/>
      <c r="N26" s="26">
        <v>0</v>
      </c>
      <c r="O26" s="12"/>
      <c r="P26" s="28">
        <v>0</v>
      </c>
      <c r="Q26" s="28"/>
      <c r="R26" s="23"/>
    </row>
    <row r="27" spans="1:18" ht="15.95" customHeight="1" x14ac:dyDescent="0.25">
      <c r="A27" s="27" t="s">
        <v>76</v>
      </c>
      <c r="B27" s="33"/>
      <c r="C27" s="31"/>
      <c r="D27" s="13"/>
      <c r="E27" s="33"/>
      <c r="F27" s="31"/>
      <c r="G27" s="13"/>
      <c r="H27" s="34">
        <v>15000</v>
      </c>
      <c r="I27" s="13"/>
      <c r="J27" s="34">
        <v>18000</v>
      </c>
      <c r="K27" s="12"/>
      <c r="L27" s="28">
        <f>18000/1807075</f>
        <v>9.9608483322496302E-3</v>
      </c>
      <c r="M27" s="14"/>
      <c r="N27" s="26">
        <v>3000</v>
      </c>
      <c r="O27" s="12"/>
      <c r="P27" s="28">
        <f>3000/15000</f>
        <v>0.2</v>
      </c>
      <c r="Q27" s="28"/>
      <c r="R27" s="23"/>
    </row>
    <row r="28" spans="1:18" ht="15.95" customHeight="1" x14ac:dyDescent="0.25">
      <c r="A28" s="27" t="s">
        <v>24</v>
      </c>
      <c r="B28" s="33"/>
      <c r="C28" s="31"/>
      <c r="D28" s="13"/>
      <c r="E28" s="33"/>
      <c r="F28" s="31"/>
      <c r="G28" s="13"/>
      <c r="H28" s="34">
        <v>4000</v>
      </c>
      <c r="I28" s="13"/>
      <c r="J28" s="34">
        <v>4000</v>
      </c>
      <c r="K28" s="12"/>
      <c r="L28" s="28">
        <f>4000/1807075</f>
        <v>2.2135218516110291E-3</v>
      </c>
      <c r="M28" s="14"/>
      <c r="N28" s="26">
        <v>0</v>
      </c>
      <c r="O28" s="12"/>
      <c r="P28" s="28">
        <v>0</v>
      </c>
      <c r="Q28" s="28"/>
      <c r="R28" s="23"/>
    </row>
    <row r="29" spans="1:18" ht="15.95" customHeight="1" x14ac:dyDescent="0.25">
      <c r="A29" s="27" t="s">
        <v>25</v>
      </c>
      <c r="B29" s="33"/>
      <c r="C29" s="31"/>
      <c r="D29" s="13"/>
      <c r="E29" s="33"/>
      <c r="F29" s="31"/>
      <c r="G29" s="13"/>
      <c r="H29" s="34">
        <v>16000</v>
      </c>
      <c r="I29" s="13"/>
      <c r="J29" s="34">
        <v>16000</v>
      </c>
      <c r="K29" s="12"/>
      <c r="L29" s="28">
        <f>16000/1807075</f>
        <v>8.8540874064441163E-3</v>
      </c>
      <c r="M29" s="14"/>
      <c r="N29" s="26">
        <v>0</v>
      </c>
      <c r="O29" s="12"/>
      <c r="P29" s="28">
        <v>0</v>
      </c>
      <c r="Q29" s="28"/>
      <c r="R29" s="23"/>
    </row>
    <row r="30" spans="1:18" ht="15.95" customHeight="1" x14ac:dyDescent="0.25">
      <c r="A30" s="27" t="s">
        <v>26</v>
      </c>
      <c r="B30" s="33"/>
      <c r="C30" s="31"/>
      <c r="D30" s="13"/>
      <c r="E30" s="33"/>
      <c r="F30" s="31"/>
      <c r="G30" s="13"/>
      <c r="H30" s="34">
        <v>3000</v>
      </c>
      <c r="I30" s="13"/>
      <c r="J30" s="34">
        <v>4500</v>
      </c>
      <c r="K30" s="12"/>
      <c r="L30" s="28">
        <f>4500/1807075</f>
        <v>2.4902120830624075E-3</v>
      </c>
      <c r="M30" s="14"/>
      <c r="N30" s="26">
        <v>1500</v>
      </c>
      <c r="O30" s="12"/>
      <c r="P30" s="28">
        <f>1500/3000</f>
        <v>0.5</v>
      </c>
      <c r="Q30" s="28"/>
      <c r="R30" s="23"/>
    </row>
    <row r="31" spans="1:18" ht="15.95" customHeight="1" x14ac:dyDescent="0.25">
      <c r="A31" s="27" t="s">
        <v>27</v>
      </c>
      <c r="B31" s="33"/>
      <c r="C31" s="31"/>
      <c r="D31" s="13"/>
      <c r="E31" s="33"/>
      <c r="F31" s="31"/>
      <c r="G31" s="13"/>
      <c r="H31" s="34">
        <v>5500</v>
      </c>
      <c r="I31" s="13"/>
      <c r="J31" s="34">
        <v>4500</v>
      </c>
      <c r="K31" s="12"/>
      <c r="L31" s="28">
        <f>4500/1807075</f>
        <v>2.4902120830624075E-3</v>
      </c>
      <c r="M31" s="14"/>
      <c r="N31" s="26">
        <v>1000</v>
      </c>
      <c r="O31" s="12"/>
      <c r="P31" s="28">
        <f>1000/4500</f>
        <v>0.22222222222222221</v>
      </c>
      <c r="Q31" s="28"/>
      <c r="R31" s="23"/>
    </row>
    <row r="32" spans="1:18" ht="15.95" customHeight="1" x14ac:dyDescent="0.25">
      <c r="A32" s="27" t="s">
        <v>28</v>
      </c>
      <c r="B32" s="33"/>
      <c r="C32" s="31"/>
      <c r="D32" s="13"/>
      <c r="E32" s="33"/>
      <c r="F32" s="31"/>
      <c r="G32" s="13"/>
      <c r="H32" s="34">
        <v>5000</v>
      </c>
      <c r="I32" s="13"/>
      <c r="J32" s="34">
        <v>6000</v>
      </c>
      <c r="K32" s="12"/>
      <c r="L32" s="28">
        <f>6000/1807075</f>
        <v>3.3202827774165434E-3</v>
      </c>
      <c r="M32" s="14"/>
      <c r="N32" s="26">
        <v>1000</v>
      </c>
      <c r="O32" s="12"/>
      <c r="P32" s="28">
        <f>1000/6000</f>
        <v>0.16666666666666666</v>
      </c>
      <c r="Q32" s="28"/>
      <c r="R32" s="23"/>
    </row>
    <row r="33" spans="1:18" ht="15.95" customHeight="1" x14ac:dyDescent="0.25">
      <c r="A33" s="27" t="s">
        <v>29</v>
      </c>
      <c r="B33" s="33"/>
      <c r="C33" s="31"/>
      <c r="D33" s="13"/>
      <c r="E33" s="33"/>
      <c r="F33" s="31"/>
      <c r="G33" s="13"/>
      <c r="H33" s="34">
        <v>35000</v>
      </c>
      <c r="I33" s="13"/>
      <c r="J33" s="34">
        <v>25000</v>
      </c>
      <c r="K33" s="12"/>
      <c r="L33" s="28">
        <f>25000/1807075</f>
        <v>1.383451157256893E-2</v>
      </c>
      <c r="M33" s="14"/>
      <c r="N33" s="26">
        <v>10000</v>
      </c>
      <c r="O33" s="12"/>
      <c r="P33" s="28">
        <f>10000/35000</f>
        <v>0.2857142857142857</v>
      </c>
      <c r="Q33" s="28"/>
      <c r="R33" s="23"/>
    </row>
    <row r="34" spans="1:18" ht="15.95" customHeight="1" x14ac:dyDescent="0.25">
      <c r="A34" s="27" t="s">
        <v>30</v>
      </c>
      <c r="B34" s="33"/>
      <c r="C34" s="31"/>
      <c r="D34" s="13"/>
      <c r="E34" s="33"/>
      <c r="F34" s="31"/>
      <c r="G34" s="13"/>
      <c r="H34" s="34">
        <v>5000</v>
      </c>
      <c r="I34" s="13"/>
      <c r="J34" s="34">
        <v>7000</v>
      </c>
      <c r="K34" s="12"/>
      <c r="L34" s="28">
        <f>7000/1807075</f>
        <v>3.8736632403193003E-3</v>
      </c>
      <c r="M34" s="14"/>
      <c r="N34" s="26">
        <v>2000</v>
      </c>
      <c r="O34" s="12"/>
      <c r="P34" s="28">
        <f>2000/5000</f>
        <v>0.4</v>
      </c>
      <c r="Q34" s="28"/>
      <c r="R34" s="23"/>
    </row>
    <row r="35" spans="1:18" ht="15.95" customHeight="1" x14ac:dyDescent="0.25">
      <c r="A35" s="27" t="s">
        <v>31</v>
      </c>
      <c r="B35" s="33"/>
      <c r="C35" s="31"/>
      <c r="D35" s="13"/>
      <c r="E35" s="33"/>
      <c r="F35" s="31"/>
      <c r="G35" s="13"/>
      <c r="H35" s="34">
        <v>5000</v>
      </c>
      <c r="I35" s="13"/>
      <c r="J35" s="34">
        <v>5000</v>
      </c>
      <c r="K35" s="12"/>
      <c r="L35" s="28">
        <f>5000/1807075</f>
        <v>2.766902314513786E-3</v>
      </c>
      <c r="M35" s="14"/>
      <c r="N35" s="26">
        <v>0</v>
      </c>
      <c r="O35" s="12"/>
      <c r="P35" s="28">
        <v>0</v>
      </c>
      <c r="Q35" s="28"/>
      <c r="R35" s="23"/>
    </row>
    <row r="36" spans="1:18" ht="15.95" customHeight="1" x14ac:dyDescent="0.25">
      <c r="A36" s="27" t="s">
        <v>32</v>
      </c>
      <c r="B36" s="33"/>
      <c r="C36" s="31"/>
      <c r="D36" s="13"/>
      <c r="E36" s="33"/>
      <c r="F36" s="31"/>
      <c r="G36" s="13"/>
      <c r="H36" s="34">
        <v>12000</v>
      </c>
      <c r="I36" s="13"/>
      <c r="J36" s="34">
        <v>12000</v>
      </c>
      <c r="K36" s="12"/>
      <c r="L36" s="28">
        <f>12000/1807075</f>
        <v>6.6405655548330868E-3</v>
      </c>
      <c r="M36" s="14"/>
      <c r="N36" s="26">
        <v>0</v>
      </c>
      <c r="O36" s="12"/>
      <c r="P36" s="28">
        <v>0</v>
      </c>
      <c r="Q36" s="28"/>
      <c r="R36" s="23"/>
    </row>
    <row r="37" spans="1:18" ht="15.95" customHeight="1" x14ac:dyDescent="0.25">
      <c r="A37" s="27" t="s">
        <v>33</v>
      </c>
      <c r="B37" s="33"/>
      <c r="C37" s="31"/>
      <c r="D37" s="13"/>
      <c r="E37" s="33"/>
      <c r="F37" s="31"/>
      <c r="G37" s="13"/>
      <c r="H37" s="34">
        <v>7000</v>
      </c>
      <c r="I37" s="13"/>
      <c r="J37" s="34">
        <v>9000</v>
      </c>
      <c r="K37" s="12"/>
      <c r="L37" s="28">
        <f>9000/1807075</f>
        <v>4.9804241661248151E-3</v>
      </c>
      <c r="M37" s="14"/>
      <c r="N37" s="26">
        <v>2000</v>
      </c>
      <c r="O37" s="12"/>
      <c r="P37" s="28">
        <f>2000/7000</f>
        <v>0.2857142857142857</v>
      </c>
      <c r="Q37" s="28"/>
      <c r="R37" s="23"/>
    </row>
    <row r="38" spans="1:18" ht="15.95" customHeight="1" x14ac:dyDescent="0.25">
      <c r="A38" s="27" t="s">
        <v>75</v>
      </c>
      <c r="B38" s="33"/>
      <c r="C38" s="31"/>
      <c r="D38" s="13"/>
      <c r="E38" s="33"/>
      <c r="F38" s="31"/>
      <c r="G38" s="13"/>
      <c r="H38" s="34">
        <v>7000</v>
      </c>
      <c r="I38" s="13"/>
      <c r="J38" s="34">
        <v>7000</v>
      </c>
      <c r="K38" s="12"/>
      <c r="L38" s="28">
        <f>7000/1807075</f>
        <v>3.8736632403193003E-3</v>
      </c>
      <c r="M38" s="14"/>
      <c r="N38" s="26">
        <v>0</v>
      </c>
      <c r="O38" s="12"/>
      <c r="P38" s="28">
        <v>0</v>
      </c>
      <c r="Q38" s="28"/>
      <c r="R38" s="23"/>
    </row>
    <row r="39" spans="1:18" ht="15.95" customHeight="1" x14ac:dyDescent="0.25">
      <c r="A39" s="27" t="s">
        <v>35</v>
      </c>
      <c r="B39" s="33"/>
      <c r="C39" s="31"/>
      <c r="D39" s="13"/>
      <c r="E39" s="33"/>
      <c r="F39" s="31"/>
      <c r="G39" s="13"/>
      <c r="H39" s="34">
        <v>4500</v>
      </c>
      <c r="I39" s="13"/>
      <c r="J39" s="34">
        <v>4500</v>
      </c>
      <c r="K39" s="12"/>
      <c r="L39" s="28">
        <f>4500/1807075</f>
        <v>2.4902120830624075E-3</v>
      </c>
      <c r="M39" s="14"/>
      <c r="N39" s="26">
        <v>0</v>
      </c>
      <c r="O39" s="12"/>
      <c r="P39" s="28">
        <v>0</v>
      </c>
      <c r="Q39" s="28"/>
      <c r="R39" s="23"/>
    </row>
    <row r="40" spans="1:18" ht="15.95" customHeight="1" x14ac:dyDescent="0.25">
      <c r="A40" s="27" t="s">
        <v>36</v>
      </c>
      <c r="B40" s="33"/>
      <c r="C40" s="31"/>
      <c r="D40" s="13"/>
      <c r="E40" s="33"/>
      <c r="F40" s="31"/>
      <c r="G40" s="13"/>
      <c r="H40" s="34">
        <v>15000</v>
      </c>
      <c r="I40" s="13"/>
      <c r="J40" s="34">
        <v>18000</v>
      </c>
      <c r="K40" s="12"/>
      <c r="L40" s="28">
        <f>18000/1807075</f>
        <v>9.9608483322496302E-3</v>
      </c>
      <c r="M40" s="14"/>
      <c r="N40" s="26">
        <v>3000</v>
      </c>
      <c r="O40" s="12"/>
      <c r="P40" s="28">
        <f>3000/15000</f>
        <v>0.2</v>
      </c>
      <c r="Q40" s="28"/>
      <c r="R40" s="23"/>
    </row>
    <row r="41" spans="1:18" ht="15.95" customHeight="1" x14ac:dyDescent="0.25">
      <c r="A41" s="27"/>
      <c r="B41" s="28"/>
      <c r="C41" s="31"/>
      <c r="D41" s="13"/>
      <c r="E41" s="28"/>
      <c r="F41" s="31"/>
      <c r="G41" s="13"/>
      <c r="H41" s="25"/>
      <c r="I41" s="13"/>
      <c r="J41" s="25"/>
      <c r="K41" s="12"/>
      <c r="L41" s="28"/>
      <c r="M41" s="14"/>
      <c r="N41" s="26"/>
      <c r="O41" s="12"/>
      <c r="P41" s="28"/>
      <c r="Q41" s="28"/>
      <c r="R41" s="23"/>
    </row>
    <row r="42" spans="1:18" ht="15.95" customHeight="1" x14ac:dyDescent="0.25">
      <c r="A42" s="32" t="s">
        <v>37</v>
      </c>
      <c r="B42" s="28"/>
      <c r="C42" s="31">
        <f>SUM(C19:C41)</f>
        <v>198778.25</v>
      </c>
      <c r="D42" s="13"/>
      <c r="E42" s="28"/>
      <c r="F42" s="31">
        <f>SUM(F19:F41)</f>
        <v>198778.25</v>
      </c>
      <c r="G42" s="13"/>
      <c r="H42" s="25">
        <f>SUM(H19:H41)</f>
        <v>229400</v>
      </c>
      <c r="I42" s="13"/>
      <c r="J42" s="25">
        <v>224900</v>
      </c>
      <c r="K42" s="12"/>
      <c r="L42" s="28">
        <f>224900/1807075</f>
        <v>0.1244552661068301</v>
      </c>
      <c r="M42" s="14"/>
      <c r="N42" s="26">
        <v>4500</v>
      </c>
      <c r="O42" s="12"/>
      <c r="P42" s="28">
        <f>4500/229400</f>
        <v>1.9616390584132521E-2</v>
      </c>
      <c r="Q42" s="28"/>
      <c r="R42" s="23"/>
    </row>
    <row r="43" spans="1:18" ht="15.95" customHeight="1" x14ac:dyDescent="0.25">
      <c r="A43" s="32"/>
      <c r="B43" s="28"/>
      <c r="C43" s="31"/>
      <c r="D43" s="13"/>
      <c r="E43" s="28"/>
      <c r="F43" s="31"/>
      <c r="G43" s="13"/>
      <c r="H43" s="25"/>
      <c r="I43" s="13"/>
      <c r="J43" s="25"/>
      <c r="K43" s="12"/>
      <c r="L43" s="28"/>
      <c r="M43" s="14"/>
      <c r="N43" s="26"/>
      <c r="O43" s="12"/>
      <c r="P43" s="28"/>
      <c r="Q43" s="28"/>
      <c r="R43" s="23"/>
    </row>
    <row r="44" spans="1:18" ht="15.95" customHeight="1" x14ac:dyDescent="0.25">
      <c r="A44" s="27" t="s">
        <v>38</v>
      </c>
      <c r="B44" s="33">
        <v>0.18</v>
      </c>
      <c r="C44" s="31">
        <f>C5*B44</f>
        <v>325273.5</v>
      </c>
      <c r="D44" s="13"/>
      <c r="E44" s="33">
        <v>0.15</v>
      </c>
      <c r="F44" s="31">
        <f>F5*E44</f>
        <v>271061.25</v>
      </c>
      <c r="G44" s="13"/>
      <c r="H44" s="34">
        <f>C44</f>
        <v>325273.5</v>
      </c>
      <c r="I44" s="13"/>
      <c r="J44" s="34">
        <v>271061.25</v>
      </c>
      <c r="K44" s="12"/>
      <c r="L44" s="28">
        <v>0.15</v>
      </c>
      <c r="M44" s="14"/>
      <c r="N44" s="26">
        <v>54213</v>
      </c>
      <c r="O44" s="12"/>
      <c r="P44" s="28">
        <v>0.03</v>
      </c>
      <c r="Q44" s="28"/>
      <c r="R44" s="23"/>
    </row>
    <row r="45" spans="1:18" ht="15.95" customHeight="1" x14ac:dyDescent="0.25">
      <c r="A45" s="27"/>
      <c r="B45" s="28"/>
      <c r="C45" s="31"/>
      <c r="D45" s="13"/>
      <c r="E45" s="28"/>
      <c r="F45" s="31"/>
      <c r="G45" s="13"/>
      <c r="H45" s="25"/>
      <c r="I45" s="13"/>
      <c r="J45" s="25"/>
      <c r="K45" s="12"/>
      <c r="L45" s="28"/>
      <c r="M45" s="14"/>
      <c r="N45" s="26"/>
      <c r="O45" s="12"/>
      <c r="P45" s="28"/>
      <c r="Q45" s="28"/>
      <c r="R45" s="23"/>
    </row>
    <row r="46" spans="1:18" ht="15.95" customHeight="1" x14ac:dyDescent="0.25">
      <c r="A46" s="32" t="s">
        <v>15</v>
      </c>
      <c r="B46" s="28"/>
      <c r="C46" s="31">
        <f>C42+C44</f>
        <v>524051.75</v>
      </c>
      <c r="D46" s="13"/>
      <c r="E46" s="28"/>
      <c r="F46" s="31">
        <f>F42+F44</f>
        <v>469839.5</v>
      </c>
      <c r="G46" s="13"/>
      <c r="H46" s="25">
        <f>H42+H44</f>
        <v>554673.5</v>
      </c>
      <c r="I46" s="13"/>
      <c r="J46" s="25">
        <f>J42+J44</f>
        <v>495961.25</v>
      </c>
      <c r="K46" s="12"/>
      <c r="L46" s="28">
        <v>0.27450000000000002</v>
      </c>
      <c r="M46" s="14"/>
      <c r="N46" s="26">
        <v>58713</v>
      </c>
      <c r="O46" s="12"/>
      <c r="P46" s="28">
        <f>58713/554674</f>
        <v>0.10585136494589614</v>
      </c>
      <c r="Q46" s="28"/>
      <c r="R46" s="23"/>
    </row>
    <row r="47" spans="1:18" ht="15.95" customHeight="1" x14ac:dyDescent="0.25">
      <c r="A47" s="27"/>
      <c r="B47" s="28"/>
      <c r="C47" s="31"/>
      <c r="D47" s="13"/>
      <c r="E47" s="28"/>
      <c r="F47" s="31"/>
      <c r="G47" s="13"/>
      <c r="H47" s="25"/>
      <c r="I47" s="13"/>
      <c r="J47" s="25"/>
      <c r="K47" s="12"/>
      <c r="L47" s="28"/>
      <c r="M47" s="14"/>
      <c r="N47" s="26"/>
      <c r="O47" s="12"/>
      <c r="P47" s="28"/>
      <c r="Q47" s="28"/>
      <c r="R47" s="23"/>
    </row>
    <row r="48" spans="1:18" ht="15.95" customHeight="1" x14ac:dyDescent="0.25">
      <c r="A48" s="27"/>
      <c r="B48" s="28"/>
      <c r="C48" s="31"/>
      <c r="D48" s="13"/>
      <c r="E48" s="28"/>
      <c r="F48" s="31"/>
      <c r="G48" s="13"/>
      <c r="H48" s="25"/>
      <c r="I48" s="13"/>
      <c r="J48" s="25"/>
      <c r="K48" s="12"/>
      <c r="L48" s="28"/>
      <c r="M48" s="14"/>
      <c r="N48" s="26"/>
      <c r="O48" s="12"/>
      <c r="P48" s="28"/>
      <c r="Q48" s="28"/>
      <c r="R48" s="23"/>
    </row>
    <row r="49" spans="1:19" s="8" customFormat="1" ht="15.95" customHeight="1" x14ac:dyDescent="0.25">
      <c r="A49" s="42" t="s">
        <v>39</v>
      </c>
      <c r="B49" s="42"/>
      <c r="C49" s="42"/>
      <c r="D49" s="50"/>
      <c r="E49" s="42"/>
      <c r="F49" s="42"/>
      <c r="G49" s="50"/>
      <c r="H49" s="48"/>
      <c r="I49" s="50"/>
      <c r="J49" s="48"/>
      <c r="K49" s="43"/>
      <c r="L49" s="49"/>
      <c r="M49" s="49"/>
      <c r="N49" s="45"/>
      <c r="O49" s="43"/>
      <c r="P49" s="49"/>
      <c r="Q49" s="49"/>
      <c r="R49" s="46"/>
    </row>
    <row r="50" spans="1:19" ht="15.95" customHeight="1" x14ac:dyDescent="0.25">
      <c r="A50" s="27" t="s">
        <v>40</v>
      </c>
      <c r="B50" s="33">
        <v>0.13</v>
      </c>
      <c r="C50" s="31">
        <f>C7*B50</f>
        <v>234919.75</v>
      </c>
      <c r="D50" s="13"/>
      <c r="E50" s="33">
        <v>0.13</v>
      </c>
      <c r="F50" s="31">
        <f>F7*E50</f>
        <v>234919.75</v>
      </c>
      <c r="G50" s="13"/>
      <c r="H50" s="34">
        <f>C50</f>
        <v>234919.75</v>
      </c>
      <c r="I50" s="13"/>
      <c r="J50" s="34">
        <v>260000</v>
      </c>
      <c r="K50" s="12"/>
      <c r="L50" s="28">
        <f>260000/1807075</f>
        <v>0.14387892035471689</v>
      </c>
      <c r="M50" s="14"/>
      <c r="N50" s="26">
        <v>25080</v>
      </c>
      <c r="O50" s="12"/>
      <c r="P50" s="28">
        <v>1.4999999999999999E-2</v>
      </c>
      <c r="Q50" s="28"/>
      <c r="R50" s="23"/>
    </row>
    <row r="51" spans="1:19" ht="15.95" customHeight="1" x14ac:dyDescent="0.25">
      <c r="A51" s="27" t="s">
        <v>41</v>
      </c>
      <c r="B51" s="33"/>
      <c r="C51" s="31"/>
      <c r="D51" s="13"/>
      <c r="E51" s="33"/>
      <c r="F51" s="31"/>
      <c r="G51" s="13"/>
      <c r="H51" s="34">
        <v>4000</v>
      </c>
      <c r="I51" s="13"/>
      <c r="J51" s="34">
        <v>6000</v>
      </c>
      <c r="K51" s="12"/>
      <c r="L51" s="28">
        <f>6000/1807075</f>
        <v>3.3202827774165434E-3</v>
      </c>
      <c r="M51" s="14"/>
      <c r="N51" s="26">
        <v>2000</v>
      </c>
      <c r="O51" s="12"/>
      <c r="P51" s="28">
        <v>0.5</v>
      </c>
      <c r="Q51" s="28"/>
      <c r="R51" s="23"/>
    </row>
    <row r="52" spans="1:19" ht="15.95" customHeight="1" x14ac:dyDescent="0.25">
      <c r="A52" s="27" t="s">
        <v>42</v>
      </c>
      <c r="B52" s="33"/>
      <c r="C52" s="31"/>
      <c r="D52" s="13"/>
      <c r="E52" s="33"/>
      <c r="F52" s="31"/>
      <c r="G52" s="13"/>
      <c r="H52" s="34">
        <v>33000</v>
      </c>
      <c r="I52" s="13"/>
      <c r="J52" s="34">
        <v>40875</v>
      </c>
      <c r="K52" s="12"/>
      <c r="L52" s="28">
        <f>40875/1807075</f>
        <v>2.2619426421150203E-2</v>
      </c>
      <c r="M52" s="14"/>
      <c r="N52" s="26">
        <v>7875</v>
      </c>
      <c r="O52" s="12"/>
      <c r="P52" s="28">
        <f>7875/33000</f>
        <v>0.23863636363636365</v>
      </c>
      <c r="Q52" s="28"/>
      <c r="R52" s="23"/>
    </row>
    <row r="53" spans="1:19" ht="15.95" customHeight="1" x14ac:dyDescent="0.25">
      <c r="A53" s="27" t="s">
        <v>43</v>
      </c>
      <c r="B53" s="33">
        <v>0.02</v>
      </c>
      <c r="C53" s="31">
        <f>C7*B53</f>
        <v>36141.5</v>
      </c>
      <c r="D53" s="13"/>
      <c r="E53" s="33">
        <v>0.02</v>
      </c>
      <c r="F53" s="31">
        <f>F7*E53</f>
        <v>36141.5</v>
      </c>
      <c r="G53" s="13"/>
      <c r="H53" s="34">
        <v>37642</v>
      </c>
      <c r="I53" s="13"/>
      <c r="J53" s="34">
        <v>40000</v>
      </c>
      <c r="K53" s="12"/>
      <c r="L53" s="28">
        <f>40000/1807075</f>
        <v>2.2135218516110288E-2</v>
      </c>
      <c r="M53" s="14"/>
      <c r="N53" s="26">
        <f>40000-37642</f>
        <v>2358</v>
      </c>
      <c r="O53" s="12"/>
      <c r="P53" s="28">
        <f>3358/37642</f>
        <v>8.9208862440890491E-2</v>
      </c>
      <c r="Q53" s="28"/>
      <c r="R53" s="23"/>
    </row>
    <row r="54" spans="1:19" ht="15.95" customHeight="1" x14ac:dyDescent="0.25">
      <c r="A54" s="27" t="s">
        <v>44</v>
      </c>
      <c r="B54" s="33"/>
      <c r="C54" s="31"/>
      <c r="D54" s="13"/>
      <c r="E54" s="33"/>
      <c r="F54" s="31"/>
      <c r="G54" s="13"/>
      <c r="H54" s="34">
        <v>2500</v>
      </c>
      <c r="I54" s="13"/>
      <c r="J54" s="34">
        <v>3000</v>
      </c>
      <c r="K54" s="12"/>
      <c r="L54" s="28">
        <f>3000/1807075</f>
        <v>1.6601413887082717E-3</v>
      </c>
      <c r="M54" s="14"/>
      <c r="N54" s="26">
        <v>500</v>
      </c>
      <c r="O54" s="12"/>
      <c r="P54" s="28">
        <v>0.18179999999999999</v>
      </c>
      <c r="Q54" s="28"/>
      <c r="R54" s="23"/>
    </row>
    <row r="55" spans="1:19" ht="15.95" customHeight="1" x14ac:dyDescent="0.25">
      <c r="A55" s="27" t="s">
        <v>45</v>
      </c>
      <c r="B55" s="33"/>
      <c r="C55" s="31"/>
      <c r="D55" s="13"/>
      <c r="E55" s="33"/>
      <c r="F55" s="31"/>
      <c r="G55" s="13"/>
      <c r="H55" s="34">
        <v>12000</v>
      </c>
      <c r="I55" s="13"/>
      <c r="J55" s="34">
        <v>15050</v>
      </c>
      <c r="K55" s="12"/>
      <c r="L55" s="28">
        <f>15050/1807075</f>
        <v>8.3283759666864954E-3</v>
      </c>
      <c r="M55" s="14"/>
      <c r="N55" s="26">
        <v>3050</v>
      </c>
      <c r="O55" s="12"/>
      <c r="P55" s="28">
        <f>3050/12000</f>
        <v>0.25416666666666665</v>
      </c>
      <c r="Q55" s="28"/>
      <c r="R55" s="23"/>
    </row>
    <row r="56" spans="1:19" ht="15.95" customHeight="1" x14ac:dyDescent="0.25">
      <c r="A56" s="27" t="s">
        <v>46</v>
      </c>
      <c r="B56" s="33">
        <v>0.09</v>
      </c>
      <c r="C56" s="31">
        <f>C7*B56</f>
        <v>162636.75</v>
      </c>
      <c r="D56" s="13"/>
      <c r="E56" s="33">
        <v>0.09</v>
      </c>
      <c r="F56" s="31">
        <f>F7*E56</f>
        <v>162636.75</v>
      </c>
      <c r="G56" s="13"/>
      <c r="H56" s="34">
        <v>200000</v>
      </c>
      <c r="I56" s="13"/>
      <c r="J56" s="34">
        <v>200000</v>
      </c>
      <c r="K56" s="12"/>
      <c r="L56" s="28">
        <f>200000/1807075</f>
        <v>0.11067609258055144</v>
      </c>
      <c r="M56" s="14"/>
      <c r="N56" s="26">
        <v>0</v>
      </c>
      <c r="O56" s="12"/>
      <c r="P56" s="28">
        <v>0</v>
      </c>
      <c r="Q56" s="28"/>
      <c r="R56" s="23"/>
    </row>
    <row r="57" spans="1:19" ht="15.95" customHeight="1" x14ac:dyDescent="0.25">
      <c r="A57" s="27"/>
      <c r="B57" s="28"/>
      <c r="C57" s="31"/>
      <c r="D57" s="13"/>
      <c r="E57" s="28"/>
      <c r="F57" s="31"/>
      <c r="G57" s="13"/>
      <c r="H57" s="34"/>
      <c r="I57" s="13"/>
      <c r="J57" s="34"/>
      <c r="K57" s="12"/>
      <c r="L57" s="28"/>
      <c r="M57" s="14"/>
      <c r="N57" s="26"/>
      <c r="O57" s="12"/>
      <c r="P57" s="28"/>
      <c r="Q57" s="28"/>
      <c r="R57" s="23"/>
      <c r="S57" s="3"/>
    </row>
    <row r="58" spans="1:19" ht="15.95" customHeight="1" x14ac:dyDescent="0.25">
      <c r="A58" s="32" t="s">
        <v>15</v>
      </c>
      <c r="B58" s="28"/>
      <c r="C58" s="31">
        <f>SUM(C50:C57)</f>
        <v>433698</v>
      </c>
      <c r="D58" s="13"/>
      <c r="E58" s="28"/>
      <c r="F58" s="31">
        <f>SUM(F50:F57)</f>
        <v>433698</v>
      </c>
      <c r="G58" s="13"/>
      <c r="H58" s="25">
        <f>SUM(H50:H57)</f>
        <v>524061.75</v>
      </c>
      <c r="I58" s="13"/>
      <c r="J58" s="25">
        <v>564925</v>
      </c>
      <c r="K58" s="12"/>
      <c r="L58" s="28">
        <f>564925/1807075</f>
        <v>0.31261845800534011</v>
      </c>
      <c r="M58" s="14"/>
      <c r="N58" s="26">
        <v>40863</v>
      </c>
      <c r="O58" s="12"/>
      <c r="P58" s="28">
        <f>40863/524062</f>
        <v>7.7973598543683756E-2</v>
      </c>
      <c r="Q58" s="28"/>
      <c r="R58" s="23"/>
    </row>
    <row r="59" spans="1:19" ht="15.95" customHeight="1" x14ac:dyDescent="0.25">
      <c r="A59" s="27"/>
      <c r="B59" s="28"/>
      <c r="C59" s="31"/>
      <c r="D59" s="13"/>
      <c r="E59" s="28"/>
      <c r="F59" s="31"/>
      <c r="G59" s="13"/>
      <c r="H59" s="25"/>
      <c r="I59" s="13"/>
      <c r="J59" s="25"/>
      <c r="K59" s="12"/>
      <c r="L59" s="28"/>
      <c r="M59" s="14"/>
      <c r="N59" s="26"/>
      <c r="O59" s="12"/>
      <c r="P59" s="28"/>
      <c r="Q59" s="28"/>
      <c r="R59" s="23"/>
    </row>
    <row r="60" spans="1:19" s="8" customFormat="1" ht="15.95" customHeight="1" x14ac:dyDescent="0.25">
      <c r="A60" s="42" t="s">
        <v>47</v>
      </c>
      <c r="B60" s="42"/>
      <c r="C60" s="42"/>
      <c r="D60" s="50"/>
      <c r="E60" s="42"/>
      <c r="F60" s="42"/>
      <c r="G60" s="50"/>
      <c r="H60" s="48"/>
      <c r="I60" s="50"/>
      <c r="J60" s="48"/>
      <c r="K60" s="43"/>
      <c r="L60" s="49"/>
      <c r="M60" s="49"/>
      <c r="N60" s="45"/>
      <c r="O60" s="43"/>
      <c r="P60" s="49"/>
      <c r="Q60" s="49"/>
      <c r="R60" s="46"/>
    </row>
    <row r="61" spans="1:19" ht="15.95" customHeight="1" x14ac:dyDescent="0.25">
      <c r="A61" s="27" t="s">
        <v>48</v>
      </c>
      <c r="B61" s="33"/>
      <c r="C61" s="31"/>
      <c r="D61" s="13"/>
      <c r="E61" s="33"/>
      <c r="F61" s="31"/>
      <c r="G61" s="13"/>
      <c r="H61" s="34">
        <v>900</v>
      </c>
      <c r="I61" s="13"/>
      <c r="J61" s="34">
        <v>900</v>
      </c>
      <c r="K61" s="12"/>
      <c r="L61" s="28">
        <f>900/1807075</f>
        <v>4.9804241661248146E-4</v>
      </c>
      <c r="M61" s="14"/>
      <c r="N61" s="26">
        <v>0</v>
      </c>
      <c r="O61" s="12"/>
      <c r="P61" s="28">
        <v>0</v>
      </c>
      <c r="Q61" s="28"/>
      <c r="R61" s="23"/>
    </row>
    <row r="62" spans="1:19" ht="15.95" customHeight="1" x14ac:dyDescent="0.25">
      <c r="A62" s="27" t="s">
        <v>49</v>
      </c>
      <c r="B62" s="33"/>
      <c r="C62" s="31"/>
      <c r="D62" s="13"/>
      <c r="E62" s="33"/>
      <c r="F62" s="31"/>
      <c r="G62" s="13"/>
      <c r="H62" s="34">
        <v>2500</v>
      </c>
      <c r="I62" s="13"/>
      <c r="J62" s="34">
        <v>2500</v>
      </c>
      <c r="K62" s="12"/>
      <c r="L62" s="28">
        <f>2500/1807075</f>
        <v>1.383451157256893E-3</v>
      </c>
      <c r="M62" s="14"/>
      <c r="N62" s="26">
        <f>-P611</f>
        <v>0</v>
      </c>
      <c r="O62" s="12"/>
      <c r="P62" s="28">
        <v>0</v>
      </c>
      <c r="Q62" s="28"/>
      <c r="R62" s="23"/>
    </row>
    <row r="63" spans="1:19" ht="15.95" customHeight="1" x14ac:dyDescent="0.25">
      <c r="A63" s="27" t="s">
        <v>50</v>
      </c>
      <c r="B63" s="33"/>
      <c r="C63" s="31"/>
      <c r="D63" s="13"/>
      <c r="E63" s="33"/>
      <c r="F63" s="31"/>
      <c r="G63" s="13"/>
      <c r="H63" s="34">
        <v>100</v>
      </c>
      <c r="I63" s="13"/>
      <c r="J63" s="34">
        <v>100</v>
      </c>
      <c r="K63" s="12"/>
      <c r="L63" s="28">
        <f>100/1807075</f>
        <v>5.5338046290275721E-5</v>
      </c>
      <c r="M63" s="14"/>
      <c r="N63" s="26">
        <v>0</v>
      </c>
      <c r="O63" s="12"/>
      <c r="P63" s="28">
        <v>0</v>
      </c>
      <c r="Q63" s="28"/>
      <c r="R63" s="23"/>
    </row>
    <row r="64" spans="1:19" ht="15.95" customHeight="1" x14ac:dyDescent="0.25">
      <c r="A64" s="27" t="s">
        <v>51</v>
      </c>
      <c r="B64" s="33"/>
      <c r="C64" s="31"/>
      <c r="D64" s="13"/>
      <c r="E64" s="33"/>
      <c r="F64" s="31"/>
      <c r="G64" s="13"/>
      <c r="H64" s="34">
        <v>400</v>
      </c>
      <c r="I64" s="13"/>
      <c r="J64" s="34">
        <v>2000</v>
      </c>
      <c r="K64" s="12"/>
      <c r="L64" s="28">
        <f>2000/1807075</f>
        <v>1.1067609258055145E-3</v>
      </c>
      <c r="M64" s="14"/>
      <c r="N64" s="26">
        <v>1600</v>
      </c>
      <c r="O64" s="12"/>
      <c r="P64" s="28">
        <f>1600/400</f>
        <v>4</v>
      </c>
      <c r="Q64" s="28"/>
      <c r="R64" s="23"/>
    </row>
    <row r="65" spans="1:18" ht="15.95" customHeight="1" x14ac:dyDescent="0.25">
      <c r="A65" s="27"/>
      <c r="B65" s="28"/>
      <c r="C65" s="31"/>
      <c r="D65" s="13"/>
      <c r="E65" s="28"/>
      <c r="F65" s="31"/>
      <c r="G65" s="13"/>
      <c r="H65" s="34"/>
      <c r="I65" s="13"/>
      <c r="J65" s="34"/>
      <c r="K65" s="12"/>
      <c r="L65" s="28"/>
      <c r="M65" s="14"/>
      <c r="N65" s="26"/>
      <c r="O65" s="12"/>
      <c r="P65" s="28"/>
      <c r="Q65" s="28"/>
      <c r="R65" s="23"/>
    </row>
    <row r="66" spans="1:18" ht="15.95" customHeight="1" x14ac:dyDescent="0.25">
      <c r="A66" s="32" t="s">
        <v>15</v>
      </c>
      <c r="B66" s="28"/>
      <c r="C66" s="31">
        <f>SUM(C62:C65)</f>
        <v>0</v>
      </c>
      <c r="D66" s="13"/>
      <c r="E66" s="28"/>
      <c r="F66" s="31">
        <f>SUM(F62:F65)</f>
        <v>0</v>
      </c>
      <c r="G66" s="13"/>
      <c r="H66" s="25">
        <f>SUM(H61:H64)</f>
        <v>3900</v>
      </c>
      <c r="I66" s="13"/>
      <c r="J66" s="25">
        <v>5500</v>
      </c>
      <c r="K66" s="12"/>
      <c r="L66" s="28">
        <f>5500/1807075</f>
        <v>3.0435925459651649E-3</v>
      </c>
      <c r="M66" s="14"/>
      <c r="N66" s="26">
        <v>1600</v>
      </c>
      <c r="O66" s="12"/>
      <c r="P66" s="28">
        <f>1600/3900</f>
        <v>0.41025641025641024</v>
      </c>
      <c r="Q66" s="28"/>
      <c r="R66" s="23"/>
    </row>
    <row r="67" spans="1:18" ht="15.95" customHeight="1" x14ac:dyDescent="0.25">
      <c r="A67" s="27"/>
      <c r="B67" s="28"/>
      <c r="C67" s="31"/>
      <c r="D67" s="13"/>
      <c r="E67" s="28"/>
      <c r="F67" s="31"/>
      <c r="G67" s="13"/>
      <c r="H67" s="25"/>
      <c r="I67" s="13"/>
      <c r="J67" s="25"/>
      <c r="K67" s="12"/>
      <c r="L67" s="28"/>
      <c r="M67" s="14"/>
      <c r="N67" s="26"/>
      <c r="O67" s="12"/>
      <c r="P67" s="28"/>
      <c r="Q67" s="28"/>
      <c r="R67" s="23"/>
    </row>
    <row r="68" spans="1:18" s="8" customFormat="1" ht="15.95" customHeight="1" x14ac:dyDescent="0.25">
      <c r="A68" s="42" t="s">
        <v>52</v>
      </c>
      <c r="B68" s="42"/>
      <c r="C68" s="42"/>
      <c r="D68" s="50"/>
      <c r="E68" s="42"/>
      <c r="F68" s="42"/>
      <c r="G68" s="50"/>
      <c r="H68" s="48"/>
      <c r="I68" s="50"/>
      <c r="J68" s="48"/>
      <c r="K68" s="43"/>
      <c r="L68" s="49"/>
      <c r="M68" s="49"/>
      <c r="N68" s="45"/>
      <c r="O68" s="43"/>
      <c r="P68" s="49"/>
      <c r="Q68" s="49"/>
      <c r="R68" s="46"/>
    </row>
    <row r="69" spans="1:18" ht="15.95" customHeight="1" x14ac:dyDescent="0.25">
      <c r="A69" s="27" t="s">
        <v>53</v>
      </c>
      <c r="B69" s="33"/>
      <c r="C69" s="31"/>
      <c r="D69" s="13"/>
      <c r="E69" s="33"/>
      <c r="F69" s="31"/>
      <c r="G69" s="13"/>
      <c r="H69" s="34">
        <v>6850</v>
      </c>
      <c r="I69" s="13"/>
      <c r="J69" s="34">
        <v>6850</v>
      </c>
      <c r="K69" s="12"/>
      <c r="L69" s="28">
        <f>6850/1807075</f>
        <v>3.7906561708838868E-3</v>
      </c>
      <c r="M69" s="14"/>
      <c r="N69" s="26">
        <v>0</v>
      </c>
      <c r="O69" s="12"/>
      <c r="P69" s="28">
        <v>0</v>
      </c>
      <c r="Q69" s="28"/>
      <c r="R69" s="23"/>
    </row>
    <row r="70" spans="1:18" ht="15.95" customHeight="1" x14ac:dyDescent="0.25">
      <c r="A70" s="27" t="s">
        <v>54</v>
      </c>
      <c r="B70" s="33"/>
      <c r="C70" s="31"/>
      <c r="D70" s="13"/>
      <c r="E70" s="33"/>
      <c r="F70" s="31"/>
      <c r="G70" s="13"/>
      <c r="H70" s="34">
        <v>152675</v>
      </c>
      <c r="I70" s="13"/>
      <c r="J70" s="34">
        <v>152675</v>
      </c>
      <c r="K70" s="12"/>
      <c r="L70" s="28">
        <f>152675/1807075</f>
        <v>8.4487362173678457E-2</v>
      </c>
      <c r="M70" s="14"/>
      <c r="N70" s="26">
        <v>0</v>
      </c>
      <c r="O70" s="12"/>
      <c r="P70" s="28">
        <v>0</v>
      </c>
      <c r="Q70" s="28"/>
      <c r="R70" s="37"/>
    </row>
    <row r="71" spans="1:18" ht="15.95" customHeight="1" x14ac:dyDescent="0.25">
      <c r="A71" s="27" t="s">
        <v>55</v>
      </c>
      <c r="B71" s="33"/>
      <c r="C71" s="31"/>
      <c r="D71" s="13"/>
      <c r="E71" s="33"/>
      <c r="F71" s="31"/>
      <c r="G71" s="13"/>
      <c r="H71" s="34">
        <v>2500</v>
      </c>
      <c r="I71" s="13"/>
      <c r="J71" s="34">
        <v>2500</v>
      </c>
      <c r="K71" s="12"/>
      <c r="L71" s="28">
        <f>2500/1807075</f>
        <v>1.383451157256893E-3</v>
      </c>
      <c r="M71" s="14"/>
      <c r="N71" s="26">
        <v>0</v>
      </c>
      <c r="O71" s="12"/>
      <c r="P71" s="28">
        <v>0</v>
      </c>
      <c r="Q71" s="28"/>
      <c r="R71" s="23"/>
    </row>
    <row r="72" spans="1:18" ht="15.95" customHeight="1" x14ac:dyDescent="0.25">
      <c r="A72" s="27" t="s">
        <v>56</v>
      </c>
      <c r="B72" s="33"/>
      <c r="C72" s="31"/>
      <c r="D72" s="13"/>
      <c r="E72" s="33"/>
      <c r="F72" s="31"/>
      <c r="G72" s="13"/>
      <c r="H72" s="34">
        <v>750</v>
      </c>
      <c r="I72" s="13"/>
      <c r="J72" s="34">
        <v>750</v>
      </c>
      <c r="K72" s="12"/>
      <c r="L72" s="28">
        <f>750/1807075</f>
        <v>4.1503534717706792E-4</v>
      </c>
      <c r="M72" s="14"/>
      <c r="N72" s="26">
        <v>0</v>
      </c>
      <c r="O72" s="12"/>
      <c r="P72" s="28">
        <v>0</v>
      </c>
      <c r="Q72" s="28"/>
      <c r="R72" s="23"/>
    </row>
    <row r="73" spans="1:18" ht="15.95" customHeight="1" x14ac:dyDescent="0.25">
      <c r="A73" s="27" t="s">
        <v>57</v>
      </c>
      <c r="B73" s="33"/>
      <c r="C73" s="31"/>
      <c r="D73" s="13"/>
      <c r="E73" s="33"/>
      <c r="F73" s="31"/>
      <c r="G73" s="13"/>
      <c r="H73" s="34">
        <v>6000</v>
      </c>
      <c r="I73" s="13"/>
      <c r="J73" s="34">
        <v>6000</v>
      </c>
      <c r="K73" s="12"/>
      <c r="L73" s="28">
        <f>6000/1807075</f>
        <v>3.3202827774165434E-3</v>
      </c>
      <c r="M73" s="14"/>
      <c r="N73" s="26">
        <v>0</v>
      </c>
      <c r="O73" s="12"/>
      <c r="P73" s="28">
        <v>0</v>
      </c>
      <c r="Q73" s="28"/>
      <c r="R73" s="23"/>
    </row>
    <row r="74" spans="1:18" s="2" customFormat="1" ht="15.95" customHeight="1" x14ac:dyDescent="0.25">
      <c r="A74" s="27" t="s">
        <v>58</v>
      </c>
      <c r="B74" s="33"/>
      <c r="C74" s="31"/>
      <c r="D74" s="13"/>
      <c r="E74" s="33"/>
      <c r="F74" s="31"/>
      <c r="G74" s="13"/>
      <c r="H74" s="34">
        <v>150</v>
      </c>
      <c r="I74" s="13"/>
      <c r="J74" s="34">
        <v>150</v>
      </c>
      <c r="K74" s="12"/>
      <c r="L74" s="28">
        <f>150/1807075</f>
        <v>8.3007069435413582E-5</v>
      </c>
      <c r="M74" s="14"/>
      <c r="N74" s="26">
        <v>0</v>
      </c>
      <c r="O74" s="12"/>
      <c r="P74" s="28">
        <v>0</v>
      </c>
      <c r="Q74" s="28"/>
      <c r="R74" s="23"/>
    </row>
    <row r="75" spans="1:18" ht="15.95" customHeight="1" x14ac:dyDescent="0.25">
      <c r="A75" s="27" t="s">
        <v>59</v>
      </c>
      <c r="B75" s="33"/>
      <c r="C75" s="31"/>
      <c r="D75" s="13"/>
      <c r="E75" s="33"/>
      <c r="F75" s="31"/>
      <c r="G75" s="13"/>
      <c r="H75" s="34">
        <v>6000</v>
      </c>
      <c r="I75" s="13"/>
      <c r="J75" s="34">
        <v>9000</v>
      </c>
      <c r="K75" s="12"/>
      <c r="L75" s="28">
        <f>9000/1807075</f>
        <v>4.9804241661248151E-3</v>
      </c>
      <c r="M75" s="14"/>
      <c r="N75" s="26">
        <v>3000</v>
      </c>
      <c r="O75" s="12"/>
      <c r="P75" s="28">
        <f>3000/6000</f>
        <v>0.5</v>
      </c>
      <c r="Q75" s="28"/>
      <c r="R75" s="23"/>
    </row>
    <row r="76" spans="1:18" ht="15.95" customHeight="1" x14ac:dyDescent="0.25">
      <c r="A76" s="27" t="s">
        <v>60</v>
      </c>
      <c r="B76" s="33"/>
      <c r="C76" s="31"/>
      <c r="D76" s="13"/>
      <c r="E76" s="33"/>
      <c r="F76" s="31"/>
      <c r="G76" s="13"/>
      <c r="H76" s="34">
        <v>14400</v>
      </c>
      <c r="I76" s="13"/>
      <c r="J76" s="34">
        <v>15030</v>
      </c>
      <c r="K76" s="12"/>
      <c r="L76" s="28">
        <f>15030/1807075</f>
        <v>8.3173083574284417E-3</v>
      </c>
      <c r="M76" s="14"/>
      <c r="N76" s="26">
        <v>630</v>
      </c>
      <c r="O76" s="12"/>
      <c r="P76" s="28">
        <f>630/14400</f>
        <v>4.3749999999999997E-2</v>
      </c>
      <c r="Q76" s="28"/>
      <c r="R76" s="23"/>
    </row>
    <row r="77" spans="1:18" ht="15.95" customHeight="1" x14ac:dyDescent="0.25">
      <c r="A77" s="27" t="s">
        <v>61</v>
      </c>
      <c r="B77" s="33"/>
      <c r="C77" s="31"/>
      <c r="D77" s="13"/>
      <c r="E77" s="33"/>
      <c r="F77" s="31"/>
      <c r="G77" s="13"/>
      <c r="H77" s="34">
        <v>290325</v>
      </c>
      <c r="I77" s="15"/>
      <c r="J77" s="34">
        <v>293000</v>
      </c>
      <c r="K77" s="12"/>
      <c r="L77" s="28">
        <f>293000/1807075</f>
        <v>0.16214047563050787</v>
      </c>
      <c r="M77" s="14"/>
      <c r="N77" s="26">
        <v>2675</v>
      </c>
      <c r="O77" s="12"/>
      <c r="P77" s="28">
        <f>2675/290325</f>
        <v>9.2138121071213292E-3</v>
      </c>
      <c r="Q77" s="28"/>
      <c r="R77" s="37"/>
    </row>
    <row r="78" spans="1:18" ht="15.95" customHeight="1" x14ac:dyDescent="0.25">
      <c r="A78" s="27" t="s">
        <v>34</v>
      </c>
      <c r="B78" s="33"/>
      <c r="C78" s="31"/>
      <c r="D78" s="13"/>
      <c r="E78" s="33"/>
      <c r="F78" s="31"/>
      <c r="G78" s="13"/>
      <c r="H78" s="34">
        <v>26000</v>
      </c>
      <c r="I78" s="13"/>
      <c r="J78" s="34">
        <v>30200</v>
      </c>
      <c r="K78" s="12"/>
      <c r="L78" s="28">
        <f>30200/1807075</f>
        <v>1.6712089979663267E-2</v>
      </c>
      <c r="M78" s="14"/>
      <c r="N78" s="26">
        <v>4200</v>
      </c>
      <c r="O78" s="12"/>
      <c r="P78" s="28">
        <f>4200/26000</f>
        <v>0.16153846153846155</v>
      </c>
      <c r="Q78" s="28"/>
      <c r="R78" s="23"/>
    </row>
    <row r="79" spans="1:18" ht="15" customHeight="1" x14ac:dyDescent="0.25">
      <c r="A79" s="27" t="s">
        <v>62</v>
      </c>
      <c r="B79" s="33"/>
      <c r="C79" s="31"/>
      <c r="D79" s="13"/>
      <c r="E79" s="33"/>
      <c r="F79" s="31"/>
      <c r="G79" s="13"/>
      <c r="H79" s="34">
        <v>13000</v>
      </c>
      <c r="I79" s="13"/>
      <c r="J79" s="34">
        <v>13000</v>
      </c>
      <c r="K79" s="12"/>
      <c r="L79" s="28">
        <f>13000/1807075</f>
        <v>7.1939460177358437E-3</v>
      </c>
      <c r="M79" s="14"/>
      <c r="N79" s="26">
        <v>0</v>
      </c>
      <c r="O79" s="12"/>
      <c r="P79" s="28">
        <v>0</v>
      </c>
      <c r="Q79" s="28"/>
      <c r="R79" s="23"/>
    </row>
    <row r="80" spans="1:18" ht="15.95" customHeight="1" x14ac:dyDescent="0.25">
      <c r="A80" s="27" t="s">
        <v>63</v>
      </c>
      <c r="B80" s="33"/>
      <c r="C80" s="31"/>
      <c r="D80" s="13"/>
      <c r="E80" s="33"/>
      <c r="F80" s="31"/>
      <c r="G80" s="13"/>
      <c r="H80" s="34">
        <v>64000</v>
      </c>
      <c r="I80" s="13"/>
      <c r="J80" s="34">
        <v>65020</v>
      </c>
      <c r="K80" s="12"/>
      <c r="L80" s="28">
        <f>65020/1807075</f>
        <v>3.5980797697937272E-2</v>
      </c>
      <c r="M80" s="14"/>
      <c r="N80" s="26">
        <v>1020</v>
      </c>
      <c r="O80" s="12"/>
      <c r="P80" s="28">
        <f>1020/64000</f>
        <v>1.59375E-2</v>
      </c>
      <c r="Q80" s="28"/>
      <c r="R80" s="23"/>
    </row>
    <row r="81" spans="1:18" ht="15.95" customHeight="1" x14ac:dyDescent="0.25">
      <c r="A81" s="27" t="s">
        <v>64</v>
      </c>
      <c r="B81" s="33"/>
      <c r="C81" s="31"/>
      <c r="D81" s="13"/>
      <c r="E81" s="33"/>
      <c r="F81" s="31"/>
      <c r="G81" s="13"/>
      <c r="H81" s="34">
        <v>6800</v>
      </c>
      <c r="I81" s="13"/>
      <c r="J81" s="34">
        <v>6800</v>
      </c>
      <c r="K81" s="12"/>
      <c r="L81" s="28">
        <f>6800/1807075</f>
        <v>3.7629871477387489E-3</v>
      </c>
      <c r="M81" s="14"/>
      <c r="N81" s="26">
        <v>0</v>
      </c>
      <c r="O81" s="12"/>
      <c r="P81" s="28">
        <v>0</v>
      </c>
      <c r="Q81" s="28"/>
      <c r="R81" s="23"/>
    </row>
    <row r="82" spans="1:18" ht="15.95" customHeight="1" x14ac:dyDescent="0.25">
      <c r="A82" s="27" t="s">
        <v>65</v>
      </c>
      <c r="B82" s="33"/>
      <c r="C82" s="31"/>
      <c r="D82" s="13"/>
      <c r="E82" s="33"/>
      <c r="F82" s="31"/>
      <c r="G82" s="13"/>
      <c r="H82" s="34">
        <v>200</v>
      </c>
      <c r="I82" s="13"/>
      <c r="J82" s="34">
        <v>200</v>
      </c>
      <c r="K82" s="12"/>
      <c r="L82" s="28">
        <f>200/1807075</f>
        <v>1.1067609258055144E-4</v>
      </c>
      <c r="M82" s="14"/>
      <c r="N82" s="26">
        <v>0</v>
      </c>
      <c r="O82" s="12"/>
      <c r="P82" s="28">
        <v>0</v>
      </c>
      <c r="Q82" s="28"/>
      <c r="R82" s="23"/>
    </row>
    <row r="83" spans="1:18" ht="15.95" customHeight="1" x14ac:dyDescent="0.25">
      <c r="A83" s="27"/>
      <c r="B83" s="28"/>
      <c r="C83" s="31"/>
      <c r="D83" s="13"/>
      <c r="E83" s="28"/>
      <c r="F83" s="31"/>
      <c r="G83" s="13"/>
      <c r="H83" s="34"/>
      <c r="I83" s="13"/>
      <c r="J83" s="34"/>
      <c r="K83" s="12"/>
      <c r="L83" s="28"/>
      <c r="M83" s="14"/>
      <c r="N83" s="26"/>
      <c r="O83" s="12"/>
      <c r="P83" s="28"/>
      <c r="Q83" s="28"/>
      <c r="R83" s="23"/>
    </row>
    <row r="84" spans="1:18" ht="15.95" customHeight="1" x14ac:dyDescent="0.25">
      <c r="A84" s="32" t="s">
        <v>15</v>
      </c>
      <c r="B84" s="28"/>
      <c r="C84" s="31">
        <f>SUM(C69:C83)</f>
        <v>0</v>
      </c>
      <c r="D84" s="13"/>
      <c r="E84" s="28"/>
      <c r="F84" s="31">
        <f>SUM(F69:F83)</f>
        <v>0</v>
      </c>
      <c r="G84" s="13"/>
      <c r="H84" s="25">
        <f>SUM(H69:H83)</f>
        <v>589650</v>
      </c>
      <c r="I84" s="13"/>
      <c r="J84" s="25">
        <f>SUM(J69:J83)</f>
        <v>601175</v>
      </c>
      <c r="K84" s="12"/>
      <c r="L84" s="28">
        <f>601175/1807075</f>
        <v>0.33267849978556507</v>
      </c>
      <c r="M84" s="14"/>
      <c r="N84" s="26">
        <f>601175-589650</f>
        <v>11525</v>
      </c>
      <c r="O84" s="12"/>
      <c r="P84" s="28">
        <f>11525/601175</f>
        <v>1.9170790535201897E-2</v>
      </c>
      <c r="Q84" s="28"/>
      <c r="R84" s="23"/>
    </row>
    <row r="85" spans="1:18" ht="15.95" customHeight="1" x14ac:dyDescent="0.25">
      <c r="A85" s="32"/>
      <c r="B85" s="28"/>
      <c r="C85" s="31"/>
      <c r="D85" s="13"/>
      <c r="E85" s="28"/>
      <c r="F85" s="31"/>
      <c r="G85" s="13"/>
      <c r="H85" s="25"/>
      <c r="I85" s="13"/>
      <c r="J85" s="25"/>
      <c r="K85" s="12"/>
      <c r="L85" s="28"/>
      <c r="M85" s="14"/>
      <c r="N85" s="26"/>
      <c r="O85" s="12"/>
      <c r="P85" s="28"/>
      <c r="Q85" s="28"/>
      <c r="R85" s="23"/>
    </row>
    <row r="86" spans="1:18" s="8" customFormat="1" ht="15.95" customHeight="1" x14ac:dyDescent="0.25">
      <c r="A86" s="51" t="s">
        <v>66</v>
      </c>
      <c r="B86" s="51"/>
      <c r="C86" s="51"/>
      <c r="D86" s="50"/>
      <c r="E86" s="51"/>
      <c r="F86" s="51"/>
      <c r="G86" s="50"/>
      <c r="H86" s="52"/>
      <c r="I86" s="50"/>
      <c r="J86" s="52"/>
      <c r="K86" s="43"/>
      <c r="L86" s="49"/>
      <c r="M86" s="49"/>
      <c r="N86" s="45"/>
      <c r="O86" s="43"/>
      <c r="P86" s="49"/>
      <c r="Q86" s="49"/>
      <c r="R86" s="46"/>
    </row>
    <row r="87" spans="1:18" ht="15.95" customHeight="1" x14ac:dyDescent="0.25">
      <c r="A87" s="38" t="s">
        <v>67</v>
      </c>
      <c r="B87" s="33"/>
      <c r="C87" s="31">
        <v>5000</v>
      </c>
      <c r="D87" s="13"/>
      <c r="E87" s="33"/>
      <c r="F87" s="31">
        <v>5000</v>
      </c>
      <c r="G87" s="13"/>
      <c r="H87" s="34">
        <v>5000</v>
      </c>
      <c r="I87" s="13"/>
      <c r="J87" s="34">
        <v>5000</v>
      </c>
      <c r="K87" s="12"/>
      <c r="L87" s="28">
        <f>5000/1807075</f>
        <v>2.766902314513786E-3</v>
      </c>
      <c r="M87" s="14"/>
      <c r="N87" s="26">
        <v>0</v>
      </c>
      <c r="O87" s="12"/>
      <c r="P87" s="28">
        <v>0</v>
      </c>
      <c r="Q87" s="28"/>
      <c r="R87" s="23"/>
    </row>
    <row r="88" spans="1:18" s="2" customFormat="1" ht="15.95" customHeight="1" x14ac:dyDescent="0.25">
      <c r="A88" s="38" t="s">
        <v>68</v>
      </c>
      <c r="B88" s="33"/>
      <c r="C88" s="31">
        <v>30000</v>
      </c>
      <c r="D88" s="13"/>
      <c r="E88" s="33"/>
      <c r="F88" s="31">
        <v>30000</v>
      </c>
      <c r="G88" s="13"/>
      <c r="H88" s="34">
        <v>30000</v>
      </c>
      <c r="I88" s="13"/>
      <c r="J88" s="34">
        <v>30000</v>
      </c>
      <c r="K88" s="12"/>
      <c r="L88" s="28">
        <f>30000/1807075</f>
        <v>1.6601413887082715E-2</v>
      </c>
      <c r="M88" s="14"/>
      <c r="N88" s="26">
        <v>0</v>
      </c>
      <c r="O88" s="12"/>
      <c r="P88" s="28">
        <v>0</v>
      </c>
      <c r="Q88" s="28"/>
      <c r="R88" s="23"/>
    </row>
    <row r="89" spans="1:18" ht="15.95" customHeight="1" x14ac:dyDescent="0.25">
      <c r="A89" s="38" t="s">
        <v>69</v>
      </c>
      <c r="B89" s="33"/>
      <c r="C89" s="31"/>
      <c r="D89" s="13"/>
      <c r="E89" s="33"/>
      <c r="F89" s="31"/>
      <c r="G89" s="13"/>
      <c r="H89" s="34">
        <v>2500</v>
      </c>
      <c r="I89" s="13"/>
      <c r="J89" s="34">
        <v>2500</v>
      </c>
      <c r="K89" s="12"/>
      <c r="L89" s="28">
        <f>2500/1807075</f>
        <v>1.383451157256893E-3</v>
      </c>
      <c r="M89" s="14"/>
      <c r="N89" s="26">
        <v>0</v>
      </c>
      <c r="O89" s="12"/>
      <c r="P89" s="28">
        <v>0</v>
      </c>
      <c r="Q89" s="28"/>
      <c r="R89" s="23"/>
    </row>
    <row r="90" spans="1:18" ht="15.95" customHeight="1" x14ac:dyDescent="0.25">
      <c r="A90" s="32"/>
      <c r="B90" s="28"/>
      <c r="C90" s="31"/>
      <c r="D90" s="13"/>
      <c r="E90" s="28"/>
      <c r="F90" s="31"/>
      <c r="G90" s="13"/>
      <c r="H90" s="34"/>
      <c r="I90" s="13"/>
      <c r="J90" s="34"/>
      <c r="K90" s="12"/>
      <c r="L90" s="28"/>
      <c r="M90" s="14"/>
      <c r="N90" s="26"/>
      <c r="O90" s="12"/>
      <c r="P90" s="28"/>
      <c r="Q90" s="28"/>
      <c r="R90" s="23"/>
    </row>
    <row r="91" spans="1:18" ht="15.95" customHeight="1" x14ac:dyDescent="0.25">
      <c r="A91" s="32" t="s">
        <v>15</v>
      </c>
      <c r="B91" s="28"/>
      <c r="C91" s="31">
        <f>SUM(C87:C90)</f>
        <v>35000</v>
      </c>
      <c r="D91" s="13"/>
      <c r="E91" s="28"/>
      <c r="F91" s="31">
        <f>SUM(F87:F90)</f>
        <v>35000</v>
      </c>
      <c r="G91" s="13"/>
      <c r="H91" s="25">
        <f>SUM(H87:H90)</f>
        <v>37500</v>
      </c>
      <c r="I91" s="13"/>
      <c r="J91" s="25">
        <f>SUM(J87:J90)</f>
        <v>37500</v>
      </c>
      <c r="K91" s="12"/>
      <c r="L91" s="28">
        <f>37500/1807075</f>
        <v>2.0751767358853396E-2</v>
      </c>
      <c r="M91" s="14"/>
      <c r="N91" s="26">
        <v>0</v>
      </c>
      <c r="O91" s="12"/>
      <c r="P91" s="28">
        <v>0</v>
      </c>
      <c r="Q91" s="28"/>
      <c r="R91" s="23"/>
    </row>
    <row r="92" spans="1:18" ht="15.95" customHeight="1" x14ac:dyDescent="0.25">
      <c r="A92" s="32"/>
      <c r="B92" s="28"/>
      <c r="C92" s="31"/>
      <c r="D92" s="13"/>
      <c r="E92" s="28"/>
      <c r="F92" s="31"/>
      <c r="G92" s="13"/>
      <c r="H92" s="25"/>
      <c r="I92" s="13"/>
      <c r="J92" s="25"/>
      <c r="K92" s="12"/>
      <c r="L92" s="28"/>
      <c r="M92" s="14"/>
      <c r="N92" s="26"/>
      <c r="O92" s="12"/>
      <c r="P92" s="28"/>
      <c r="Q92" s="28"/>
      <c r="R92" s="23"/>
    </row>
    <row r="93" spans="1:18" ht="15.95" customHeight="1" x14ac:dyDescent="0.25">
      <c r="A93" s="27"/>
      <c r="B93" s="28"/>
      <c r="C93" s="31"/>
      <c r="D93" s="13"/>
      <c r="E93" s="28"/>
      <c r="F93" s="31"/>
      <c r="G93" s="13"/>
      <c r="H93" s="25"/>
      <c r="I93" s="13"/>
      <c r="J93" s="25"/>
      <c r="K93" s="12"/>
      <c r="L93" s="28"/>
      <c r="M93" s="14"/>
      <c r="N93" s="26"/>
      <c r="O93" s="12"/>
      <c r="P93" s="28"/>
      <c r="Q93" s="28"/>
      <c r="R93" s="23"/>
    </row>
    <row r="94" spans="1:18" s="8" customFormat="1" ht="15.95" customHeight="1" x14ac:dyDescent="0.25">
      <c r="A94" s="42" t="s">
        <v>70</v>
      </c>
      <c r="B94" s="49"/>
      <c r="C94" s="53"/>
      <c r="D94" s="50"/>
      <c r="E94" s="49"/>
      <c r="F94" s="53"/>
      <c r="G94" s="50"/>
      <c r="H94" s="44"/>
      <c r="I94" s="50"/>
      <c r="J94" s="44"/>
      <c r="K94" s="43"/>
      <c r="L94" s="49"/>
      <c r="M94" s="49"/>
      <c r="N94" s="45"/>
      <c r="O94" s="43"/>
      <c r="P94" s="49"/>
      <c r="Q94" s="49"/>
      <c r="R94" s="46"/>
    </row>
    <row r="95" spans="1:18" ht="15.95" customHeight="1" x14ac:dyDescent="0.25">
      <c r="A95" s="32" t="s">
        <v>71</v>
      </c>
      <c r="B95" s="39"/>
      <c r="C95" s="31">
        <f>C16+C46+C66+C58+C84+C91</f>
        <v>1103884.8625</v>
      </c>
      <c r="D95" s="13"/>
      <c r="E95" s="39"/>
      <c r="F95" s="31">
        <f>F16+F46+F66+F58+F84+F91</f>
        <v>1049672.6125</v>
      </c>
      <c r="G95" s="13"/>
      <c r="H95" s="40">
        <f>H16+H46+H66+H58+H84+H91</f>
        <v>1820920.3625</v>
      </c>
      <c r="I95" s="13"/>
      <c r="J95" s="40">
        <f>J16+J46+J66+J58+J84+J91</f>
        <v>1820813.8625</v>
      </c>
      <c r="K95" s="12"/>
      <c r="L95" s="28">
        <f>1820814/1807075</f>
        <v>1.007602894179821</v>
      </c>
      <c r="M95" s="14"/>
      <c r="N95" s="26">
        <f>H95-J95</f>
        <v>106.5</v>
      </c>
      <c r="O95" s="16"/>
      <c r="P95" s="28">
        <f>107/1820020</f>
        <v>5.8790562741068782E-5</v>
      </c>
      <c r="Q95" s="28"/>
      <c r="R95" s="23"/>
    </row>
    <row r="96" spans="1:18" ht="15.95" customHeight="1" x14ac:dyDescent="0.25">
      <c r="A96" s="32"/>
      <c r="B96" s="39"/>
      <c r="C96" s="31"/>
      <c r="D96" s="13"/>
      <c r="E96" s="39"/>
      <c r="F96" s="31"/>
      <c r="G96" s="13"/>
      <c r="H96" s="25"/>
      <c r="I96" s="13"/>
      <c r="J96" s="25"/>
      <c r="K96" s="12"/>
      <c r="L96" s="28"/>
      <c r="M96" s="14"/>
      <c r="N96" s="26"/>
      <c r="O96" s="12"/>
      <c r="P96" s="28"/>
      <c r="Q96" s="28"/>
      <c r="R96" s="23"/>
    </row>
    <row r="97" spans="1:18" ht="15.95" customHeight="1" x14ac:dyDescent="0.25">
      <c r="A97" s="32"/>
      <c r="B97" s="28"/>
      <c r="C97" s="31"/>
      <c r="D97" s="13"/>
      <c r="E97" s="28"/>
      <c r="F97" s="31"/>
      <c r="G97" s="13"/>
      <c r="H97" s="25"/>
      <c r="I97" s="13"/>
      <c r="J97" s="25"/>
      <c r="K97" s="12"/>
      <c r="L97" s="28"/>
      <c r="M97" s="14"/>
      <c r="N97" s="26"/>
      <c r="O97" s="12"/>
      <c r="P97" s="28"/>
      <c r="Q97" s="28"/>
      <c r="R97" s="23"/>
    </row>
    <row r="98" spans="1:18" ht="15.95" customHeight="1" x14ac:dyDescent="0.25">
      <c r="A98" s="32" t="s">
        <v>72</v>
      </c>
      <c r="B98" s="28"/>
      <c r="C98" s="31"/>
      <c r="D98" s="13"/>
      <c r="E98" s="28"/>
      <c r="F98" s="31"/>
      <c r="G98" s="13"/>
      <c r="H98" s="40">
        <f>H7-H95</f>
        <v>-13845.362500000047</v>
      </c>
      <c r="I98" s="13"/>
      <c r="J98" s="40">
        <f>J7-J95</f>
        <v>-13738.862500000047</v>
      </c>
      <c r="K98" s="16"/>
      <c r="L98" s="28"/>
      <c r="M98" s="14"/>
      <c r="N98" s="26"/>
      <c r="O98" s="16"/>
      <c r="P98" s="28"/>
      <c r="Q98" s="28"/>
      <c r="R98" s="23"/>
    </row>
    <row r="99" spans="1:18" x14ac:dyDescent="0.25">
      <c r="A99" s="23"/>
      <c r="B99" s="23"/>
      <c r="C99" s="23"/>
      <c r="D99" s="17"/>
      <c r="E99" s="23"/>
      <c r="F99" s="23"/>
      <c r="G99" s="17"/>
      <c r="H99" s="23"/>
      <c r="I99" s="17"/>
      <c r="J99" s="23"/>
      <c r="K99" s="17"/>
      <c r="L99" s="23"/>
      <c r="M99" s="17"/>
      <c r="N99" s="41"/>
      <c r="O99" s="17"/>
      <c r="P99" s="23"/>
      <c r="Q99" s="23"/>
      <c r="R99" s="23"/>
    </row>
  </sheetData>
  <mergeCells count="6">
    <mergeCell ref="B1:C1"/>
    <mergeCell ref="B2:C2"/>
    <mergeCell ref="B3:C3"/>
    <mergeCell ref="E1:F1"/>
    <mergeCell ref="E2:F2"/>
    <mergeCell ref="E3:F3"/>
  </mergeCells>
  <pageMargins left="0.7" right="0.7" top="0.75" bottom="0.75" header="0.3" footer="0.3"/>
  <pageSetup orientation="portrait" horizontalDpi="0" verticalDpi="0"/>
  <ignoredErrors>
    <ignoredError sqref="J16 J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Abby Feenstra</cp:lastModifiedBy>
  <dcterms:created xsi:type="dcterms:W3CDTF">2019-03-08T16:13:27Z</dcterms:created>
  <dcterms:modified xsi:type="dcterms:W3CDTF">2019-06-14T19:42:53Z</dcterms:modified>
</cp:coreProperties>
</file>